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irecția Implementare Proiecte\"/>
    </mc:Choice>
  </mc:AlternateContent>
  <xr:revisionPtr revIDLastSave="0" documentId="13_ncr:1_{B7C00AD9-B1AF-4926-AE7E-D84AB8DEB9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l 2023" sheetId="1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14" l="1"/>
  <c r="H20" i="14"/>
  <c r="H34" i="14" l="1"/>
  <c r="I34" i="14" s="1"/>
  <c r="H23" i="14"/>
  <c r="AD16" i="14" l="1"/>
  <c r="AD34" i="14" l="1"/>
  <c r="AD8" i="14"/>
  <c r="H14" i="14"/>
  <c r="AD21" i="14" l="1"/>
  <c r="AD29" i="14" l="1"/>
  <c r="H16" i="14" l="1"/>
  <c r="H27" i="14" l="1"/>
  <c r="AE13" i="14" l="1"/>
  <c r="AK13" i="14" l="1"/>
  <c r="AI13" i="14"/>
  <c r="AC14" i="14"/>
  <c r="H25" i="14" l="1"/>
  <c r="AE39" i="14" l="1"/>
  <c r="AK39" i="14" s="1"/>
  <c r="AI39" i="14" s="1"/>
  <c r="H39" i="14"/>
  <c r="I39" i="14" s="1"/>
  <c r="AD36" i="14"/>
  <c r="AC36" i="14"/>
  <c r="T36" i="14"/>
  <c r="S36" i="14"/>
  <c r="O36" i="14"/>
  <c r="N36" i="14"/>
  <c r="AN35" i="14"/>
  <c r="AB35" i="14"/>
  <c r="AA35" i="14"/>
  <c r="W35" i="14"/>
  <c r="V35" i="14"/>
  <c r="Q35" i="14"/>
  <c r="K35" i="14"/>
  <c r="H35" i="14"/>
  <c r="I35" i="14" s="1"/>
  <c r="AN34" i="14"/>
  <c r="AB34" i="14"/>
  <c r="AE34" i="14" s="1"/>
  <c r="AF34" i="14" s="1"/>
  <c r="Q34" i="14"/>
  <c r="K34" i="14"/>
  <c r="AJ34" i="14"/>
  <c r="AN33" i="14"/>
  <c r="AE33" i="14"/>
  <c r="AF33" i="14" s="1"/>
  <c r="P33" i="14"/>
  <c r="P36" i="14" s="1"/>
  <c r="K33" i="14"/>
  <c r="H33" i="14"/>
  <c r="I33" i="14" s="1"/>
  <c r="AJ33" i="14" s="1"/>
  <c r="AN32" i="14"/>
  <c r="AE32" i="14"/>
  <c r="Q32" i="14"/>
  <c r="K32" i="14"/>
  <c r="H32" i="14"/>
  <c r="I32" i="14" s="1"/>
  <c r="AJ32" i="14" s="1"/>
  <c r="AN31" i="14"/>
  <c r="AE31" i="14"/>
  <c r="AK31" i="14" s="1"/>
  <c r="AI31" i="14" s="1"/>
  <c r="Q31" i="14"/>
  <c r="I31" i="14"/>
  <c r="AN30" i="14"/>
  <c r="AE30" i="14"/>
  <c r="AF30" i="14" s="1"/>
  <c r="Q30" i="14"/>
  <c r="I30" i="14"/>
  <c r="AN29" i="14"/>
  <c r="AE29" i="14"/>
  <c r="AF29" i="14" s="1"/>
  <c r="Q29" i="14"/>
  <c r="I29" i="14"/>
  <c r="AJ29" i="14" s="1"/>
  <c r="AA28" i="14"/>
  <c r="Y28" i="14"/>
  <c r="AN28" i="14" s="1"/>
  <c r="W28" i="14"/>
  <c r="Q28" i="14"/>
  <c r="H28" i="14"/>
  <c r="I28" i="14" s="1"/>
  <c r="AN27" i="14"/>
  <c r="AB27" i="14"/>
  <c r="AE27" i="14" s="1"/>
  <c r="AF27" i="14" s="1"/>
  <c r="Q27" i="14"/>
  <c r="I27" i="14"/>
  <c r="AN26" i="14"/>
  <c r="AE26" i="14"/>
  <c r="AK26" i="14" s="1"/>
  <c r="AI26" i="14" s="1"/>
  <c r="R26" i="14"/>
  <c r="Q26" i="14"/>
  <c r="H26" i="14"/>
  <c r="I26" i="14" s="1"/>
  <c r="AN25" i="14"/>
  <c r="AE25" i="14"/>
  <c r="AF25" i="14" s="1"/>
  <c r="Q25" i="14"/>
  <c r="K25" i="14"/>
  <c r="I25" i="14"/>
  <c r="AN24" i="14"/>
  <c r="AE24" i="14"/>
  <c r="AF24" i="14" s="1"/>
  <c r="AG24" i="14" s="1"/>
  <c r="Q24" i="14"/>
  <c r="AN23" i="14"/>
  <c r="X23" i="14"/>
  <c r="AE23" i="14" s="1"/>
  <c r="R23" i="14"/>
  <c r="Q23" i="14"/>
  <c r="I23" i="14"/>
  <c r="AN22" i="14"/>
  <c r="AE22" i="14"/>
  <c r="AK22" i="14" s="1"/>
  <c r="AI22" i="14" s="1"/>
  <c r="Q22" i="14"/>
  <c r="I22" i="14"/>
  <c r="AN21" i="14"/>
  <c r="AE21" i="14"/>
  <c r="AK21" i="14" s="1"/>
  <c r="AI21" i="14" s="1"/>
  <c r="Q21" i="14"/>
  <c r="I21" i="14"/>
  <c r="AN20" i="14"/>
  <c r="Z20" i="14"/>
  <c r="AE20" i="14" s="1"/>
  <c r="Q20" i="14"/>
  <c r="I20" i="14"/>
  <c r="AN19" i="14"/>
  <c r="AE19" i="14"/>
  <c r="AF19" i="14" s="1"/>
  <c r="Q19" i="14"/>
  <c r="H19" i="14"/>
  <c r="I19" i="14" s="1"/>
  <c r="AJ19" i="14" s="1"/>
  <c r="AN18" i="14"/>
  <c r="AE18" i="14"/>
  <c r="AK18" i="14" s="1"/>
  <c r="AI18" i="14" s="1"/>
  <c r="Q18" i="14"/>
  <c r="AN17" i="14"/>
  <c r="AE17" i="14"/>
  <c r="AF17" i="14" s="1"/>
  <c r="AG17" i="14" s="1"/>
  <c r="Q17" i="14"/>
  <c r="AE16" i="14"/>
  <c r="AF16" i="14" s="1"/>
  <c r="K16" i="14"/>
  <c r="I16" i="14"/>
  <c r="E16" i="14"/>
  <c r="Q16" i="14" s="1"/>
  <c r="AN15" i="14"/>
  <c r="AE15" i="14"/>
  <c r="AF15" i="14" s="1"/>
  <c r="Q15" i="14"/>
  <c r="I15" i="14"/>
  <c r="AJ15" i="14" s="1"/>
  <c r="AN14" i="14"/>
  <c r="AA14" i="14"/>
  <c r="W14" i="14"/>
  <c r="V14" i="14"/>
  <c r="U14" i="14"/>
  <c r="Q14" i="14"/>
  <c r="I14" i="14"/>
  <c r="AJ14" i="14" s="1"/>
  <c r="AN13" i="14"/>
  <c r="Q13" i="14"/>
  <c r="I13" i="14"/>
  <c r="AH13" i="14" s="1"/>
  <c r="AN12" i="14"/>
  <c r="Z12" i="14"/>
  <c r="Z36" i="14" s="1"/>
  <c r="U12" i="14"/>
  <c r="U36" i="14" s="1"/>
  <c r="Q12" i="14"/>
  <c r="H12" i="14"/>
  <c r="I12" i="14" s="1"/>
  <c r="AJ12" i="14" s="1"/>
  <c r="AN11" i="14"/>
  <c r="Q11" i="14"/>
  <c r="AE10" i="14"/>
  <c r="AK10" i="14" s="1"/>
  <c r="G9" i="14"/>
  <c r="AA9" i="14" s="1"/>
  <c r="AB8" i="14"/>
  <c r="AB36" i="14" s="1"/>
  <c r="Y8" i="14"/>
  <c r="Q8" i="14"/>
  <c r="I8" i="14"/>
  <c r="V36" i="14" l="1"/>
  <c r="Y36" i="14"/>
  <c r="R36" i="14"/>
  <c r="W36" i="14"/>
  <c r="AE14" i="14"/>
  <c r="AF14" i="14" s="1"/>
  <c r="AE35" i="14"/>
  <c r="AF35" i="14" s="1"/>
  <c r="AH35" i="14" s="1"/>
  <c r="AH16" i="14"/>
  <c r="AH19" i="14"/>
  <c r="AH25" i="14"/>
  <c r="AH27" i="14"/>
  <c r="AH29" i="14"/>
  <c r="AK32" i="14"/>
  <c r="AI32" i="14" s="1"/>
  <c r="AF32" i="14"/>
  <c r="AH32" i="14" s="1"/>
  <c r="AH33" i="14"/>
  <c r="AK33" i="14"/>
  <c r="AF18" i="14"/>
  <c r="AG18" i="14" s="1"/>
  <c r="AF26" i="14"/>
  <c r="AG26" i="14" s="1"/>
  <c r="AF31" i="14"/>
  <c r="AF22" i="14"/>
  <c r="AH22" i="14" s="1"/>
  <c r="AG16" i="14"/>
  <c r="AH34" i="14"/>
  <c r="AK16" i="14"/>
  <c r="AI16" i="14" s="1"/>
  <c r="AN16" i="14"/>
  <c r="AA36" i="14"/>
  <c r="AE9" i="14"/>
  <c r="AK9" i="14" s="1"/>
  <c r="AE8" i="14"/>
  <c r="AJ26" i="14"/>
  <c r="AJ28" i="14"/>
  <c r="AJ8" i="14"/>
  <c r="AN8" i="14"/>
  <c r="AG15" i="14"/>
  <c r="AK15" i="14"/>
  <c r="AI15" i="14" s="1"/>
  <c r="AJ16" i="14"/>
  <c r="AK20" i="14"/>
  <c r="AI20" i="14" s="1"/>
  <c r="AF20" i="14"/>
  <c r="AH20" i="14" s="1"/>
  <c r="AJ23" i="14"/>
  <c r="AJ25" i="14"/>
  <c r="AG25" i="14"/>
  <c r="AJ27" i="14"/>
  <c r="AG27" i="14"/>
  <c r="AJ35" i="14"/>
  <c r="AJ39" i="14"/>
  <c r="AE12" i="14"/>
  <c r="AK23" i="14"/>
  <c r="AI23" i="14" s="1"/>
  <c r="AF23" i="14"/>
  <c r="AH23" i="14" s="1"/>
  <c r="AK17" i="14"/>
  <c r="AI17" i="14" s="1"/>
  <c r="AG19" i="14"/>
  <c r="AK19" i="14"/>
  <c r="AI19" i="14" s="1"/>
  <c r="AK24" i="14"/>
  <c r="AI24" i="14" s="1"/>
  <c r="AK25" i="14"/>
  <c r="AI25" i="14" s="1"/>
  <c r="AK27" i="14"/>
  <c r="AI27" i="14" s="1"/>
  <c r="AE28" i="14"/>
  <c r="AG29" i="14"/>
  <c r="AK29" i="14"/>
  <c r="AI29" i="14" s="1"/>
  <c r="AG30" i="14"/>
  <c r="AK30" i="14"/>
  <c r="AI30" i="14" s="1"/>
  <c r="AG31" i="14"/>
  <c r="Q33" i="14"/>
  <c r="Q36" i="14" s="1"/>
  <c r="AG34" i="14"/>
  <c r="AK34" i="14"/>
  <c r="X36" i="14"/>
  <c r="AF39" i="14"/>
  <c r="AG39" i="14" s="1"/>
  <c r="AF21" i="14"/>
  <c r="AH21" i="14" s="1"/>
  <c r="AG33" i="14"/>
  <c r="AK35" i="14" l="1"/>
  <c r="AI35" i="14" s="1"/>
  <c r="AG32" i="14"/>
  <c r="AK14" i="14"/>
  <c r="AI14" i="14" s="1"/>
  <c r="AH26" i="14"/>
  <c r="AG23" i="14"/>
  <c r="AN36" i="14"/>
  <c r="AG22" i="14"/>
  <c r="AG20" i="14"/>
  <c r="AI34" i="14"/>
  <c r="AF28" i="14"/>
  <c r="AK28" i="14"/>
  <c r="AI28" i="14" s="1"/>
  <c r="AH14" i="14"/>
  <c r="AG14" i="14"/>
  <c r="L49" i="14"/>
  <c r="L52" i="14" s="1"/>
  <c r="L54" i="14" s="1"/>
  <c r="AH39" i="14"/>
  <c r="AF12" i="14"/>
  <c r="AK12" i="14"/>
  <c r="AI12" i="14" s="1"/>
  <c r="AG35" i="14"/>
  <c r="AG21" i="14"/>
  <c r="AE36" i="14"/>
  <c r="AF8" i="14"/>
  <c r="AK8" i="14"/>
  <c r="AK36" i="14" l="1"/>
  <c r="AF36" i="14"/>
  <c r="AH8" i="14"/>
  <c r="AG8" i="14"/>
  <c r="AH12" i="14"/>
  <c r="AG12" i="14"/>
  <c r="AH28" i="14"/>
  <c r="AG28" i="14"/>
  <c r="AG36" i="14" l="1"/>
</calcChain>
</file>

<file path=xl/sharedStrings.xml><?xml version="1.0" encoding="utf-8"?>
<sst xmlns="http://schemas.openxmlformats.org/spreadsheetml/2006/main" count="250" uniqueCount="192">
  <si>
    <t>Nr</t>
  </si>
  <si>
    <t xml:space="preserve">Denumirea drumurilor </t>
  </si>
  <si>
    <t>Tipul lucrărilor</t>
  </si>
  <si>
    <t>M5</t>
  </si>
  <si>
    <t>Frontiera cu Ucraina – Criva – Bălţi – Chişinău – Tiraspol – frontiera cu Ucraina</t>
  </si>
  <si>
    <t>R6</t>
  </si>
  <si>
    <t>R26</t>
  </si>
  <si>
    <t>Bender – Căuşeni – Cimişlia</t>
  </si>
  <si>
    <t>R30</t>
  </si>
  <si>
    <t>Construcția drumului</t>
  </si>
  <si>
    <t>M1</t>
  </si>
  <si>
    <t>R21</t>
  </si>
  <si>
    <t>Reparația podului</t>
  </si>
  <si>
    <t>95,3-96,3</t>
  </si>
  <si>
    <t>R12</t>
  </si>
  <si>
    <t>Bălți–Fălești–Sculeni–Ungheni</t>
  </si>
  <si>
    <t>R16</t>
  </si>
  <si>
    <t>23,70-46,55</t>
  </si>
  <si>
    <t>Chişinău – Orhei – Bălţi</t>
  </si>
  <si>
    <t>132,08; 136,45</t>
  </si>
  <si>
    <t xml:space="preserve">Reparația podurilor </t>
  </si>
  <si>
    <t>Reparația drumului</t>
  </si>
  <si>
    <t xml:space="preserve">Construcția podului și pasajului peste calea ferată  </t>
  </si>
  <si>
    <t>Reconstrucția, reparaţia drumurilor şi a construcţiilor inginereşti</t>
  </si>
  <si>
    <t>Nr. drum.</t>
  </si>
  <si>
    <t>Tronsonul,               (km)</t>
  </si>
  <si>
    <t>Frontiera cu Ucraina-Criva-Bălți-Chișinău-Tiraspol-fr cu Ucraina</t>
  </si>
  <si>
    <t>Reparaţia nodului rutier în preajma or.Bălţi</t>
  </si>
  <si>
    <t>27,83-34,20</t>
  </si>
  <si>
    <t>75,2-75,63</t>
  </si>
  <si>
    <t>Anenii Noi – Căuşeni – Ştefan Vodă – frontiera cu Ucraina (drum de ocolire a s.Troiţa Nouă)</t>
  </si>
  <si>
    <t>G64</t>
  </si>
  <si>
    <t>R6 – Băneşti – Teleneşti – Budăi – M5 (conform sectoarelor reproiectate)</t>
  </si>
  <si>
    <t xml:space="preserve">Asigurarea stabilității terasamentelor și restabilirea îmbrăcămintei rutiere </t>
  </si>
  <si>
    <t>G100</t>
  </si>
  <si>
    <t>R33-Sofia-Cărpineni-Mingir-R34</t>
  </si>
  <si>
    <t>0,0-3,0</t>
  </si>
  <si>
    <t xml:space="preserve">G125 </t>
  </si>
  <si>
    <t>Cimișlia – Iargara - Sarata Nouă, (conform sectoarelor reproiectate)</t>
  </si>
  <si>
    <t>2,40-7,70</t>
  </si>
  <si>
    <t>TOTAL GENERAL:</t>
  </si>
  <si>
    <t>f/n</t>
  </si>
  <si>
    <t>Construcția drumului de acces de la punctul de trecere a frontierei de stat Leova – Bumbăta, către drumul național G99, ocolind or. Leova</t>
  </si>
  <si>
    <t xml:space="preserve">M1 </t>
  </si>
  <si>
    <t>Frontieră cu România-Leușeni-Chișinău-Dubăsari-frontieră cu Ucraina</t>
  </si>
  <si>
    <t>Valoarea adăugată (ajustare)                  (mii lei)</t>
  </si>
  <si>
    <t>R15</t>
  </si>
  <si>
    <t xml:space="preserve">M5-Glodeni </t>
  </si>
  <si>
    <t>17,79-18,26</t>
  </si>
  <si>
    <t>G122</t>
  </si>
  <si>
    <t>M3 – Sagaidacul Nou – Satul Nou – Mihailovca – R26</t>
  </si>
  <si>
    <t>5,14-18,08</t>
  </si>
  <si>
    <t>Reparația drumului si podurilor  (4 buc.)</t>
  </si>
  <si>
    <t xml:space="preserve">Orhei - Bravicea - Călăraşi </t>
  </si>
  <si>
    <t>21,20-27,83</t>
  </si>
  <si>
    <t xml:space="preserve">Reparația drumului </t>
  </si>
  <si>
    <t>13,0 - 13,5</t>
  </si>
  <si>
    <t>0,0-3,59</t>
  </si>
  <si>
    <t>R16.1</t>
  </si>
  <si>
    <t>Volumul total al alocațiilor,                  (mii lei)</t>
  </si>
  <si>
    <t>Volumul alocațiilor 2023</t>
  </si>
  <si>
    <t>Antreprenor</t>
  </si>
  <si>
    <t>S.R.L.„Rutador”</t>
  </si>
  <si>
    <t>Responsabil tehnic</t>
  </si>
  <si>
    <t>S.A. „Drumuri-Criuleni”</t>
  </si>
  <si>
    <t>Nr. Contractului</t>
  </si>
  <si>
    <t>nr. 10/01-05/294
din 03.10.2022</t>
  </si>
  <si>
    <t>Valoarea inițială</t>
  </si>
  <si>
    <t>Acorduri adiționale</t>
  </si>
  <si>
    <t>Valoare contract</t>
  </si>
  <si>
    <t>Contacte                           (tel., E-mail)</t>
  </si>
  <si>
    <t>Date CONTRACT</t>
  </si>
  <si>
    <t>Date ANTREPRENOR și R.T.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</si>
  <si>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</si>
  <si>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</si>
  <si>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</si>
  <si>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</si>
  <si>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</si>
  <si>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</si>
  <si>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</si>
  <si>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</si>
  <si>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</si>
  <si>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</si>
  <si>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</si>
  <si>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</si>
  <si>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Valorificări lunare în anul 2023, (lei)</t>
  </si>
  <si>
    <t>Întreținerea Benef. conf. DG,   %</t>
  </si>
  <si>
    <t>Valorificat în anul 2023, (lei)</t>
  </si>
  <si>
    <t>Termen limită de execuție</t>
  </si>
  <si>
    <t>Nevalorificat din valoarea contr., (lei)</t>
  </si>
  <si>
    <t>nr. 06-14/121                           din 19.05.2021</t>
  </si>
  <si>
    <t>din valoarea contractului</t>
  </si>
  <si>
    <t>Progres, %</t>
  </si>
  <si>
    <t>din alocații</t>
  </si>
  <si>
    <t>Valorificat în anul 2023 inclusiv cu  % ÎB, (lei)</t>
  </si>
  <si>
    <t>conform HG Nr. 73  din  22 .02.2023</t>
  </si>
  <si>
    <t>nr. 10/01-05/17
din 26.01.2023</t>
  </si>
  <si>
    <t>I. Galiamov                 tel.:  069969987                               E-mail: irinda_prim@mail.ru</t>
  </si>
  <si>
    <t>nr. 10/01-05/280
din 19.09.2022</t>
  </si>
  <si>
    <t>Nagacevschii A.                  tel.:  069601523                               E-mail: andrei.nagacevschi@asd.md</t>
  </si>
  <si>
    <t xml:space="preserve"> 06-14/157 din 22.05.2020</t>
  </si>
  <si>
    <t>Costev V.                
  tel.: 067492797                                E-mail: costev@asd.md</t>
  </si>
  <si>
    <t>nr.06-14/231 din  09.09.2021</t>
  </si>
  <si>
    <t>S.A. „Drumuri Bălți”</t>
  </si>
  <si>
    <t>Livinschi V..                
  tel.: 069703030                              E-mail: vladimir.livinschi@asd.md</t>
  </si>
  <si>
    <t>V. Rogovei                 tel.:  068819186                              E-mail: drumuribalti@mail.ru</t>
  </si>
  <si>
    <t>Popov A.                  tel.:060102226                                 E-mail: criuleni_drum@asd.md</t>
  </si>
  <si>
    <t>nr 06-14/236 din 25.06.2019</t>
  </si>
  <si>
    <t>S.R.L.„Poduri Prim”</t>
  </si>
  <si>
    <t>Țernă V.                                    tel.:  069048039                               E-mail: poduriprim@gmail.com</t>
  </si>
  <si>
    <t>nr. 10/01-05/304
din 10.10.2022</t>
  </si>
  <si>
    <t>SRL „Nouconst”</t>
  </si>
  <si>
    <t>Sîrbu M.                        tel: 069295343                             E-mail: office@nouconst.md</t>
  </si>
  <si>
    <t>Puzur M.                                      tel.  068578005                                                  E-mail:  matei.puzur@asd.md</t>
  </si>
  <si>
    <t>nr.06-14/192 din  29.07.2021</t>
  </si>
  <si>
    <t>SA „Lusmecon”</t>
  </si>
  <si>
    <t>Potop V.                              Tel:                                 E-mail: step@lusmecon.md</t>
  </si>
  <si>
    <t>Chiriac A.                                     tel: 060455502                         E-mail: andrei.chiriac@asd.md</t>
  </si>
  <si>
    <t>nr.10/01-05/272  din  09.09.2022</t>
  </si>
  <si>
    <t>Maliu N.                            tel.: 069128584                                E-mail: rutador@inbox.ru</t>
  </si>
  <si>
    <t>Crudu Eduard                tel.:  069158627                              E-mail: neledimpex@yahoo.com</t>
  </si>
  <si>
    <t>Severin Nicolae                    tel.:  069601522                              E-mail: nicolae.severin@asd.md</t>
  </si>
  <si>
    <t>nr.06-14/316 din  21.12.2021</t>
  </si>
  <si>
    <t>R16-Frontiera cu România</t>
  </si>
  <si>
    <t>S.C. ,,Neledimpex” S.R.L.</t>
  </si>
  <si>
    <t>Orhei - Bravicea - Călăraşi , sectorul km 21+200-34+200 (sector 28,73-34,20)</t>
  </si>
  <si>
    <t>nr 06-14/237 din 25.06.2019</t>
  </si>
  <si>
    <t>Banari Ion                                  tel.: 069601517                            E-mail: ion.banari@asd.md</t>
  </si>
  <si>
    <t>2,78-24,5</t>
  </si>
  <si>
    <t>nr 06-14/208 din 10.06.2020</t>
  </si>
  <si>
    <t>N. Avram.                 
 tel.:  060454446                               E-mail: nicolae.avram@asd.md</t>
  </si>
  <si>
    <t>Valorificat din valoarea contr., (lei)</t>
  </si>
  <si>
    <t>lunar din alocații (pentru luna selectată)</t>
  </si>
  <si>
    <t>Volumul alocațiilor, lucrări                  (mii lei)</t>
  </si>
  <si>
    <t>Metoda de ajustare a valorii contrctului</t>
  </si>
  <si>
    <t>Actualizarea prețurilor de cost</t>
  </si>
  <si>
    <t>Rata inflației și deflației</t>
  </si>
  <si>
    <t>-</t>
  </si>
  <si>
    <t>Valorificări, (lei)</t>
  </si>
  <si>
    <t>nr. 10/01-05/320
26.10.2022</t>
  </si>
  <si>
    <t xml:space="preserve">S.A. ”Nouconst” S.R.L. </t>
  </si>
  <si>
    <t>Amenajarea căilor de acces</t>
  </si>
  <si>
    <t>Chioru Valeriu                tel.:  069777507                              E-mail: valeriu.chioru@asd.md</t>
  </si>
  <si>
    <r>
      <rPr>
        <sz val="11"/>
        <rFont val="Times New Roman"/>
        <family val="1"/>
        <charset val="204"/>
      </rPr>
      <t xml:space="preserve">Lucrări de amenajare a căilor de </t>
    </r>
    <r>
      <rPr>
        <sz val="11"/>
        <rFont val="Arial Narrow"/>
        <family val="2"/>
        <charset val="204"/>
      </rPr>
      <t>acces către Chișinău Arena Polivalentă, pe drumul R6 Chișinău-Orhei-Bălți, km 7,185, partea dreaptă</t>
    </r>
  </si>
  <si>
    <t>nr. 10/01-05/103 din 13.04.2023</t>
  </si>
  <si>
    <t>nr.10/01-05/138 din 19.05.2023</t>
  </si>
  <si>
    <t>ÎPS ”Corsag” SRL</t>
  </si>
  <si>
    <t>S. Său tel.:069310092  E-mail.: sergiu.marchici@corsag.md</t>
  </si>
  <si>
    <t>Budeanu A.   tel.: 068185090    E-mail.: anatolie.budeanu@asd.md</t>
  </si>
  <si>
    <t>nr.10/01-05/137 din 19.05.2023</t>
  </si>
  <si>
    <t>S.R.L.„Genesis International”</t>
  </si>
  <si>
    <t>Vitalii MRUG tel.:069500555            E-mail.: drumuri.gi@gmail.com</t>
  </si>
  <si>
    <t>104,5-105,4</t>
  </si>
  <si>
    <t>Reconstrucția sectorului de drum</t>
  </si>
  <si>
    <t>M3</t>
  </si>
  <si>
    <t>Chișinău-Cimișlia-Vulcănești-Giurgiulești-frontiera cu România</t>
  </si>
  <si>
    <t>G108</t>
  </si>
  <si>
    <t>M5-Florești-Anenii Noi (etapa I)</t>
  </si>
  <si>
    <t>9,00-16,08</t>
  </si>
  <si>
    <t>R8-Dondușeni-Drochia-Pelinia-M5</t>
  </si>
  <si>
    <t>10/01-05/324 din 21.09.2023</t>
  </si>
  <si>
    <t>Valoarea întreținerii funcție de beneficiar, (mii lei)</t>
  </si>
  <si>
    <t>0,00-1,163</t>
  </si>
  <si>
    <t>nr.10/01-05/345 din 09.10.2023</t>
  </si>
  <si>
    <t>S.C. „Nouconst” SRL</t>
  </si>
  <si>
    <t>Î.M. „Asociația de Gospodărire a Spațiilor Verzi”</t>
  </si>
  <si>
    <t>_</t>
  </si>
  <si>
    <t>Act de examinare a arborilor nr. 5 din 03.04.2023 și 8 din 31.05.2023</t>
  </si>
  <si>
    <t>10/01-05/354
din18.10.2023</t>
  </si>
  <si>
    <t>Procopenco Ion             
  tel.: 067492797                                E-mail: ion.procopenco@asd.md</t>
  </si>
  <si>
    <t>nr. 10/01-05/364 din 25.10.2023</t>
  </si>
  <si>
    <t>ÎCS ,,Premier Energy Distribution” S.A.</t>
  </si>
  <si>
    <t>Procopenco I.                
  tel.: 067492797                                E-mail: costev@asd.md</t>
  </si>
  <si>
    <t>Procopenco I.               
  tel.: 067492797                                E-mail: costev@asd.md</t>
  </si>
  <si>
    <t>G109</t>
  </si>
  <si>
    <t>Delacău-Bulboaca-R2</t>
  </si>
  <si>
    <t>7,99-9,13; 13,4-19,43</t>
  </si>
  <si>
    <t>182,00-182,40</t>
  </si>
  <si>
    <t xml:space="preserve">Asigurarea stabilității terasamentelor </t>
  </si>
  <si>
    <t>G113</t>
  </si>
  <si>
    <t>Bender - Copanca - Plop-Știubei - Căușeni</t>
  </si>
  <si>
    <t>28,76 - 35,07</t>
  </si>
  <si>
    <t>Nagacevschii A. tel.:  069601523  E-mail: andrei.nagacevschi@asd.md</t>
  </si>
  <si>
    <t>Nagacevschii Atel.:  069601523  E-mail: andrei.nagacevschi@asd.md</t>
  </si>
  <si>
    <t>Chioru Valeriu tel.:  069777507 E-mail: valeriu.chioru@asd.md</t>
  </si>
  <si>
    <t>Potop V.                              Tel: E-mail: step@lusmecon.md</t>
  </si>
  <si>
    <t>Reamplasarea  unui sector de LEA-110 kV Chișinău-Sculeni, circuitele 1 și 2 (dublu circuit) pe pilon temporar de tip SK-26</t>
  </si>
  <si>
    <t>Prejudiciu pentru defrișarea arborilor de pe terenurile proprietate a UAT Chișinău</t>
  </si>
  <si>
    <t>Frontiera cu România-Leușeni-Chișinău-Dubăsari-frontiera cu Ucraina (Etapa II)</t>
  </si>
  <si>
    <t>Frontiera cu România-Leușeni-Chișinău-Dubăsari-frontiera cu Ucraina</t>
  </si>
  <si>
    <t>Valorificat în anii precedenți                                    (lei)</t>
  </si>
  <si>
    <t>0-6,4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</si>
</sst>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0_р_._-;\-* #,##0.00_р_._-;_-* &quot;-&quot;??_р_._-;_-@_-"/>
    <numFmt numFmtId="166" formatCode="#,##0.000"/>
    <numFmt numFmtId="167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 Narrow"/>
      <family val="2"/>
      <charset val="204"/>
    </font>
    <font>
      <sz val="11"/>
      <name val="Arial Narrow"/>
      <family val="2"/>
      <charset val="204"/>
    </font>
    <font>
      <sz val="14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3" fillId="2" borderId="0" xfId="1" applyFont="1" applyFill="1" applyAlignment="1">
      <alignment vertical="center"/>
    </xf>
    <xf numFmtId="166" fontId="5" fillId="2" borderId="0" xfId="1" applyNumberFormat="1" applyFont="1" applyFill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0" fontId="5" fillId="2" borderId="0" xfId="1" applyFont="1" applyFill="1" applyAlignment="1">
      <alignment vertical="center"/>
    </xf>
    <xf numFmtId="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166" fontId="5" fillId="0" borderId="0" xfId="1" applyNumberFormat="1" applyFont="1" applyAlignment="1">
      <alignment horizontal="left" vertical="center"/>
    </xf>
    <xf numFmtId="4" fontId="6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 wrapText="1"/>
    </xf>
    <xf numFmtId="0" fontId="5" fillId="5" borderId="0" xfId="1" applyFont="1" applyFill="1" applyAlignment="1">
      <alignment vertical="center"/>
    </xf>
    <xf numFmtId="4" fontId="9" fillId="9" borderId="1" xfId="1" applyNumberFormat="1" applyFont="1" applyFill="1" applyBorder="1" applyAlignment="1">
      <alignment horizontal="center" vertical="center" wrapText="1"/>
    </xf>
    <xf numFmtId="4" fontId="5" fillId="9" borderId="1" xfId="1" applyNumberFormat="1" applyFont="1" applyFill="1" applyBorder="1" applyAlignment="1">
      <alignment horizontal="center" vertical="center" wrapText="1"/>
    </xf>
    <xf numFmtId="4" fontId="6" fillId="9" borderId="1" xfId="1" applyNumberFormat="1" applyFont="1" applyFill="1" applyBorder="1" applyAlignment="1">
      <alignment horizontal="center" vertical="center" wrapText="1"/>
    </xf>
    <xf numFmtId="3" fontId="6" fillId="9" borderId="1" xfId="1" applyNumberFormat="1" applyFont="1" applyFill="1" applyBorder="1" applyAlignment="1">
      <alignment horizontal="center" vertical="center" wrapText="1"/>
    </xf>
    <xf numFmtId="0" fontId="5" fillId="9" borderId="0" xfId="1" applyFont="1" applyFill="1" applyAlignment="1">
      <alignment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justify" vertical="center" wrapText="1"/>
    </xf>
    <xf numFmtId="3" fontId="3" fillId="9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6" fillId="9" borderId="7" xfId="1" applyFont="1" applyFill="1" applyBorder="1" applyAlignment="1">
      <alignment horizontal="center" vertical="center" wrapText="1"/>
    </xf>
    <xf numFmtId="166" fontId="5" fillId="9" borderId="8" xfId="1" applyNumberFormat="1" applyFont="1" applyFill="1" applyBorder="1" applyAlignment="1">
      <alignment horizontal="left" vertical="center" wrapText="1"/>
    </xf>
    <xf numFmtId="166" fontId="5" fillId="0" borderId="8" xfId="1" applyNumberFormat="1" applyFont="1" applyBorder="1" applyAlignment="1">
      <alignment horizontal="left" vertical="center" wrapText="1"/>
    </xf>
    <xf numFmtId="0" fontId="8" fillId="9" borderId="8" xfId="0" applyFont="1" applyFill="1" applyBorder="1" applyAlignment="1">
      <alignment vertical="center" wrapText="1"/>
    </xf>
    <xf numFmtId="0" fontId="6" fillId="0" borderId="10" xfId="1" applyFont="1" applyBorder="1" applyAlignment="1">
      <alignment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166" fontId="11" fillId="10" borderId="5" xfId="1" applyNumberFormat="1" applyFont="1" applyFill="1" applyBorder="1" applyAlignment="1">
      <alignment horizontal="center" vertical="center" wrapText="1"/>
    </xf>
    <xf numFmtId="166" fontId="11" fillId="6" borderId="5" xfId="1" applyNumberFormat="1" applyFont="1" applyFill="1" applyBorder="1" applyAlignment="1">
      <alignment horizontal="center" vertical="center" wrapText="1"/>
    </xf>
    <xf numFmtId="166" fontId="11" fillId="7" borderId="5" xfId="1" applyNumberFormat="1" applyFont="1" applyFill="1" applyBorder="1" applyAlignment="1">
      <alignment horizontal="center" vertical="center" wrapText="1"/>
    </xf>
    <xf numFmtId="166" fontId="11" fillId="4" borderId="5" xfId="1" applyNumberFormat="1" applyFont="1" applyFill="1" applyBorder="1" applyAlignment="1">
      <alignment horizontal="center" vertical="center" wrapText="1"/>
    </xf>
    <xf numFmtId="166" fontId="11" fillId="5" borderId="5" xfId="1" applyNumberFormat="1" applyFont="1" applyFill="1" applyBorder="1" applyAlignment="1">
      <alignment horizontal="center" vertical="center" wrapText="1"/>
    </xf>
    <xf numFmtId="166" fontId="11" fillId="11" borderId="5" xfId="1" applyNumberFormat="1" applyFont="1" applyFill="1" applyBorder="1" applyAlignment="1">
      <alignment horizontal="center" vertical="center" wrapText="1"/>
    </xf>
    <xf numFmtId="166" fontId="11" fillId="12" borderId="5" xfId="1" applyNumberFormat="1" applyFont="1" applyFill="1" applyBorder="1" applyAlignment="1">
      <alignment horizontal="center" vertical="center" wrapText="1"/>
    </xf>
    <xf numFmtId="166" fontId="11" fillId="15" borderId="5" xfId="1" applyNumberFormat="1" applyFont="1" applyFill="1" applyBorder="1" applyAlignment="1">
      <alignment horizontal="center" vertical="center" wrapText="1"/>
    </xf>
    <xf numFmtId="166" fontId="11" fillId="13" borderId="5" xfId="1" applyNumberFormat="1" applyFont="1" applyFill="1" applyBorder="1" applyAlignment="1">
      <alignment horizontal="center" vertical="center" wrapText="1"/>
    </xf>
    <xf numFmtId="166" fontId="11" fillId="14" borderId="5" xfId="1" applyNumberFormat="1" applyFont="1" applyFill="1" applyBorder="1" applyAlignment="1">
      <alignment horizontal="center" vertical="center" wrapText="1"/>
    </xf>
    <xf numFmtId="3" fontId="9" fillId="0" borderId="5" xfId="1" applyNumberFormat="1" applyFont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9" fillId="9" borderId="1" xfId="1" applyNumberFormat="1" applyFont="1" applyFill="1" applyBorder="1" applyAlignment="1">
      <alignment horizontal="center" vertical="center" wrapText="1"/>
    </xf>
    <xf numFmtId="4" fontId="9" fillId="0" borderId="5" xfId="1" applyNumberFormat="1" applyFont="1" applyBorder="1" applyAlignment="1">
      <alignment horizontal="center" vertical="center" wrapText="1"/>
    </xf>
    <xf numFmtId="4" fontId="9" fillId="0" borderId="9" xfId="1" applyNumberFormat="1" applyFont="1" applyBorder="1" applyAlignment="1">
      <alignment horizontal="center" vertical="center" wrapText="1"/>
    </xf>
    <xf numFmtId="166" fontId="11" fillId="8" borderId="20" xfId="1" applyNumberFormat="1" applyFont="1" applyFill="1" applyBorder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14" fontId="12" fillId="9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3" fontId="5" fillId="0" borderId="0" xfId="1" applyNumberFormat="1" applyFont="1" applyAlignment="1">
      <alignment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0" borderId="2" xfId="1" applyNumberFormat="1" applyFont="1" applyBorder="1" applyAlignment="1">
      <alignment horizontal="center" vertical="center" wrapText="1"/>
    </xf>
    <xf numFmtId="4" fontId="9" fillId="9" borderId="2" xfId="1" applyNumberFormat="1" applyFont="1" applyFill="1" applyBorder="1" applyAlignment="1">
      <alignment horizontal="center" vertical="center" wrapText="1"/>
    </xf>
    <xf numFmtId="4" fontId="14" fillId="0" borderId="0" xfId="1" applyNumberFormat="1" applyFont="1" applyAlignment="1">
      <alignment vertical="center"/>
    </xf>
    <xf numFmtId="166" fontId="11" fillId="8" borderId="15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9" borderId="1" xfId="1" applyNumberFormat="1" applyFont="1" applyFill="1" applyBorder="1" applyAlignment="1">
      <alignment horizontal="center" vertical="center" wrapText="1"/>
    </xf>
    <xf numFmtId="0" fontId="6" fillId="5" borderId="21" xfId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166" fontId="5" fillId="3" borderId="8" xfId="1" applyNumberFormat="1" applyFont="1" applyFill="1" applyBorder="1" applyAlignment="1">
      <alignment horizontal="left" vertical="center" wrapText="1"/>
    </xf>
    <xf numFmtId="166" fontId="5" fillId="9" borderId="8" xfId="1" applyNumberFormat="1" applyFont="1" applyFill="1" applyBorder="1" applyAlignment="1">
      <alignment horizontal="center" vertical="center" wrapText="1"/>
    </xf>
    <xf numFmtId="167" fontId="9" fillId="0" borderId="5" xfId="1" applyNumberFormat="1" applyFont="1" applyBorder="1" applyAlignment="1">
      <alignment horizontal="center" vertical="center" wrapText="1"/>
    </xf>
    <xf numFmtId="4" fontId="9" fillId="0" borderId="0" xfId="1" applyNumberFormat="1" applyFont="1" applyAlignment="1">
      <alignment horizontal="center" vertical="center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166" fontId="11" fillId="8" borderId="14" xfId="1" applyNumberFormat="1" applyFont="1" applyFill="1" applyBorder="1" applyAlignment="1">
      <alignment horizontal="center" vertical="center" wrapText="1"/>
    </xf>
    <xf numFmtId="166" fontId="11" fillId="8" borderId="15" xfId="1" applyNumberFormat="1" applyFont="1" applyFill="1" applyBorder="1" applyAlignment="1">
      <alignment horizontal="center" vertical="center" wrapText="1"/>
    </xf>
    <xf numFmtId="166" fontId="11" fillId="8" borderId="16" xfId="1" applyNumberFormat="1" applyFont="1" applyFill="1" applyBorder="1" applyAlignment="1">
      <alignment horizontal="center" vertical="center" wrapText="1"/>
    </xf>
    <xf numFmtId="166" fontId="11" fillId="8" borderId="17" xfId="1" applyNumberFormat="1" applyFont="1" applyFill="1" applyBorder="1" applyAlignment="1">
      <alignment horizontal="center" vertical="center" wrapText="1"/>
    </xf>
    <xf numFmtId="166" fontId="11" fillId="8" borderId="18" xfId="1" applyNumberFormat="1" applyFont="1" applyFill="1" applyBorder="1" applyAlignment="1">
      <alignment horizontal="center" vertical="center" wrapText="1"/>
    </xf>
    <xf numFmtId="166" fontId="11" fillId="8" borderId="19" xfId="1" applyNumberFormat="1" applyFont="1" applyFill="1" applyBorder="1" applyAlignment="1">
      <alignment horizontal="center" vertical="center" wrapText="1"/>
    </xf>
    <xf numFmtId="0" fontId="11" fillId="8" borderId="11" xfId="1" applyFont="1" applyFill="1" applyBorder="1" applyAlignment="1">
      <alignment horizontal="center" vertical="center" wrapText="1"/>
    </xf>
    <xf numFmtId="0" fontId="11" fillId="8" borderId="12" xfId="1" applyFont="1" applyFill="1" applyBorder="1" applyAlignment="1">
      <alignment horizontal="center" vertical="center" wrapText="1"/>
    </xf>
    <xf numFmtId="4" fontId="11" fillId="8" borderId="11" xfId="1" applyNumberFormat="1" applyFont="1" applyFill="1" applyBorder="1" applyAlignment="1">
      <alignment horizontal="center" vertical="center" wrapText="1"/>
    </xf>
    <xf numFmtId="4" fontId="11" fillId="8" borderId="12" xfId="1" applyNumberFormat="1" applyFont="1" applyFill="1" applyBorder="1" applyAlignment="1">
      <alignment horizontal="center" vertical="center" wrapText="1"/>
    </xf>
    <xf numFmtId="4" fontId="11" fillId="8" borderId="13" xfId="1" applyNumberFormat="1" applyFont="1" applyFill="1" applyBorder="1" applyAlignment="1">
      <alignment horizontal="center" vertical="center" wrapText="1"/>
    </xf>
    <xf numFmtId="166" fontId="11" fillId="8" borderId="11" xfId="1" applyNumberFormat="1" applyFont="1" applyFill="1" applyBorder="1" applyAlignment="1">
      <alignment horizontal="center" vertical="center" wrapText="1"/>
    </xf>
    <xf numFmtId="166" fontId="11" fillId="8" borderId="13" xfId="1" applyNumberFormat="1" applyFont="1" applyFill="1" applyBorder="1" applyAlignment="1">
      <alignment horizontal="center" vertical="center" wrapText="1"/>
    </xf>
    <xf numFmtId="166" fontId="11" fillId="8" borderId="12" xfId="1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0" fillId="0" borderId="13" xfId="0" applyBorder="1"/>
    <xf numFmtId="4" fontId="9" fillId="9" borderId="23" xfId="1" applyNumberFormat="1" applyFont="1" applyFill="1" applyBorder="1" applyAlignment="1">
      <alignment horizontal="center" vertical="center" wrapText="1"/>
    </xf>
    <xf numFmtId="4" fontId="9" fillId="9" borderId="4" xfId="1" applyNumberFormat="1" applyFont="1" applyFill="1" applyBorder="1" applyAlignment="1">
      <alignment horizontal="center" vertical="center" wrapText="1"/>
    </xf>
    <xf numFmtId="4" fontId="9" fillId="9" borderId="3" xfId="1" applyNumberFormat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center" vertical="center" wrapText="1"/>
    </xf>
    <xf numFmtId="0" fontId="6" fillId="9" borderId="24" xfId="1" applyFont="1" applyFill="1" applyBorder="1" applyAlignment="1">
      <alignment horizontal="center" vertical="center" wrapText="1"/>
    </xf>
    <xf numFmtId="0" fontId="6" fillId="9" borderId="6" xfId="1" applyFont="1" applyFill="1" applyBorder="1" applyAlignment="1">
      <alignment horizontal="center" vertical="center" wrapText="1"/>
    </xf>
    <xf numFmtId="4" fontId="5" fillId="9" borderId="23" xfId="1" applyNumberFormat="1" applyFont="1" applyFill="1" applyBorder="1" applyAlignment="1">
      <alignment horizontal="center" vertical="center" wrapText="1"/>
    </xf>
    <xf numFmtId="4" fontId="5" fillId="9" borderId="4" xfId="1" applyNumberFormat="1" applyFont="1" applyFill="1" applyBorder="1" applyAlignment="1">
      <alignment horizontal="center" vertical="center" wrapText="1"/>
    </xf>
    <xf numFmtId="4" fontId="5" fillId="9" borderId="3" xfId="1" applyNumberFormat="1" applyFont="1" applyFill="1" applyBorder="1" applyAlignment="1">
      <alignment horizontal="center" vertical="center" wrapText="1"/>
    </xf>
    <xf numFmtId="4" fontId="15" fillId="9" borderId="23" xfId="1" applyNumberFormat="1" applyFont="1" applyFill="1" applyBorder="1" applyAlignment="1">
      <alignment horizontal="center" vertical="center" wrapText="1"/>
    </xf>
    <xf numFmtId="4" fontId="15" fillId="9" borderId="4" xfId="1" applyNumberFormat="1" applyFont="1" applyFill="1" applyBorder="1" applyAlignment="1">
      <alignment horizontal="center" vertical="center" wrapText="1"/>
    </xf>
    <xf numFmtId="4" fontId="15" fillId="9" borderId="3" xfId="1" applyNumberFormat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justify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5" fillId="9" borderId="1" xfId="1" applyFont="1" applyFill="1" applyBorder="1" applyAlignment="1">
      <alignment horizontal="left" vertical="center" wrapText="1"/>
    </xf>
    <xf numFmtId="14" fontId="12" fillId="9" borderId="4" xfId="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justify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4" fontId="15" fillId="3" borderId="1" xfId="1" applyNumberFormat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center" vertical="center" wrapText="1"/>
    </xf>
    <xf numFmtId="4" fontId="9" fillId="3" borderId="1" xfId="1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4" fontId="9" fillId="3" borderId="2" xfId="1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 wrapText="1"/>
    </xf>
  </cellXfs>
  <cellStyles count="7">
    <cellStyle name="Normal" xfId="0" builtinId="0"/>
    <cellStyle name="Обычный 2" xfId="4" xr:uid="{00000000-0005-0000-0000-000001000000}"/>
    <cellStyle name="Обычный 3" xfId="1" xr:uid="{00000000-0005-0000-0000-000002000000}"/>
    <cellStyle name="Финансовый 2" xfId="2" xr:uid="{00000000-0005-0000-0000-000003000000}"/>
    <cellStyle name="Финансовый 3" xfId="3" xr:uid="{00000000-0005-0000-0000-000004000000}"/>
    <cellStyle name="Финансовый 3 2" xfId="5" xr:uid="{00000000-0005-0000-0000-000005000000}"/>
    <cellStyle name="Финансовый 3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99;&#1087;&#1086;&#1083;&#1085;&#1077;&#1085;&#1080;&#1077;%20202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55"/>
      <sheetName val="ianuarie 2023"/>
      <sheetName val="decembrie 2022"/>
      <sheetName val="noiembrie 2022"/>
      <sheetName val="octombrie 2022 "/>
      <sheetName val="septembrie 2022 "/>
      <sheetName val="august 2022 "/>
      <sheetName val="iulie 2022"/>
      <sheetName val="iunie 2022"/>
      <sheetName val="mai 2022"/>
      <sheetName val="aprilie 2022 "/>
      <sheetName val="martie 2022"/>
      <sheetName val="februarie 2022 "/>
      <sheetName val="ianuarie 2022"/>
      <sheetName val="decembrie 2021"/>
      <sheetName val="decembrie 2021 (2)"/>
      <sheetName val="octmbrie 2021   (2)"/>
      <sheetName val="decembrie 2020  (2)"/>
    </sheetNames>
    <sheetDataSet>
      <sheetData sheetId="0" refreshError="1"/>
      <sheetData sheetId="1" refreshError="1">
        <row r="60">
          <cell r="D60" t="str">
            <v>SRL „Irinda Prim”</v>
          </cell>
          <cell r="G60">
            <v>2.14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Z54"/>
  <sheetViews>
    <sheetView tabSelected="1" topLeftCell="A14" zoomScale="60" zoomScaleNormal="60" workbookViewId="0">
      <selection activeCell="AO8" sqref="AO8"/>
    </sheetView>
  </sheetViews>
  <sheetFormatPr defaultColWidth="18.85546875" defaultRowHeight="15" x14ac:dyDescent="0.25"/>
  <cols>
    <col min="1" max="1" width="6.140625" style="3" customWidth="1"/>
    <col min="2" max="2" width="7.5703125" style="4" customWidth="1"/>
    <col min="3" max="3" width="42" style="3" customWidth="1"/>
    <col min="4" max="4" width="24" style="5" customWidth="1"/>
    <col min="5" max="5" width="14.140625" style="5" hidden="1" customWidth="1"/>
    <col min="6" max="6" width="18.7109375" style="5" customWidth="1"/>
    <col min="7" max="7" width="22" style="5" hidden="1" customWidth="1"/>
    <col min="8" max="8" width="16.85546875" style="5" hidden="1" customWidth="1"/>
    <col min="9" max="9" width="17.85546875" style="2" customWidth="1"/>
    <col min="10" max="10" width="16" style="2" customWidth="1"/>
    <col min="11" max="11" width="19.7109375" style="5" customWidth="1"/>
    <col min="12" max="12" width="19.5703125" style="5" hidden="1" customWidth="1"/>
    <col min="13" max="13" width="24.5703125" style="2" hidden="1" customWidth="1"/>
    <col min="14" max="14" width="12.28515625" style="5" hidden="1" customWidth="1"/>
    <col min="15" max="15" width="11.85546875" style="5" hidden="1" customWidth="1"/>
    <col min="16" max="17" width="13.7109375" style="2" customWidth="1"/>
    <col min="18" max="18" width="19.28515625" style="5" customWidth="1"/>
    <col min="19" max="19" width="16.5703125" style="5" customWidth="1"/>
    <col min="20" max="20" width="18.140625" style="5" customWidth="1"/>
    <col min="21" max="21" width="15.42578125" style="5" customWidth="1"/>
    <col min="22" max="25" width="17" style="5" customWidth="1"/>
    <col min="26" max="26" width="17.7109375" style="5" customWidth="1"/>
    <col min="27" max="28" width="17" style="5" customWidth="1"/>
    <col min="29" max="29" width="15.5703125" style="5" customWidth="1"/>
    <col min="30" max="30" width="16.140625" style="5" customWidth="1"/>
    <col min="31" max="31" width="17" style="5" customWidth="1"/>
    <col min="32" max="32" width="19.42578125" style="2" customWidth="1"/>
    <col min="33" max="33" width="23.140625" style="2" customWidth="1"/>
    <col min="34" max="34" width="12.28515625" style="5" customWidth="1"/>
    <col min="35" max="35" width="11.85546875" style="5" customWidth="1"/>
    <col min="36" max="36" width="13.7109375" style="2" hidden="1" customWidth="1"/>
    <col min="37" max="37" width="18.85546875" style="2" customWidth="1"/>
    <col min="38" max="38" width="24" style="9" customWidth="1"/>
    <col min="39" max="40" width="0" style="3" hidden="1" customWidth="1"/>
    <col min="41" max="78" width="18.85546875" style="3"/>
    <col min="79" max="284" width="18.85546875" style="6"/>
    <col min="285" max="285" width="3.28515625" style="6" bestFit="1" customWidth="1"/>
    <col min="286" max="286" width="5.7109375" style="6" customWidth="1"/>
    <col min="287" max="287" width="39.7109375" style="6" customWidth="1"/>
    <col min="288" max="288" width="11.140625" style="6" customWidth="1"/>
    <col min="289" max="289" width="11.7109375" style="6" customWidth="1"/>
    <col min="290" max="290" width="11.85546875" style="6" customWidth="1"/>
    <col min="291" max="291" width="12.28515625" style="6" customWidth="1"/>
    <col min="292" max="292" width="15.140625" style="6" bestFit="1" customWidth="1"/>
    <col min="293" max="293" width="11.140625" style="6" customWidth="1"/>
    <col min="294" max="294" width="30" style="6" customWidth="1"/>
    <col min="295" max="540" width="18.85546875" style="6"/>
    <col min="541" max="541" width="3.28515625" style="6" bestFit="1" customWidth="1"/>
    <col min="542" max="542" width="5.7109375" style="6" customWidth="1"/>
    <col min="543" max="543" width="39.7109375" style="6" customWidth="1"/>
    <col min="544" max="544" width="11.140625" style="6" customWidth="1"/>
    <col min="545" max="545" width="11.7109375" style="6" customWidth="1"/>
    <col min="546" max="546" width="11.85546875" style="6" customWidth="1"/>
    <col min="547" max="547" width="12.28515625" style="6" customWidth="1"/>
    <col min="548" max="548" width="15.140625" style="6" bestFit="1" customWidth="1"/>
    <col min="549" max="549" width="11.140625" style="6" customWidth="1"/>
    <col min="550" max="550" width="30" style="6" customWidth="1"/>
    <col min="551" max="796" width="18.85546875" style="6"/>
    <col min="797" max="797" width="3.28515625" style="6" bestFit="1" customWidth="1"/>
    <col min="798" max="798" width="5.7109375" style="6" customWidth="1"/>
    <col min="799" max="799" width="39.7109375" style="6" customWidth="1"/>
    <col min="800" max="800" width="11.140625" style="6" customWidth="1"/>
    <col min="801" max="801" width="11.7109375" style="6" customWidth="1"/>
    <col min="802" max="802" width="11.85546875" style="6" customWidth="1"/>
    <col min="803" max="803" width="12.28515625" style="6" customWidth="1"/>
    <col min="804" max="804" width="15.140625" style="6" bestFit="1" customWidth="1"/>
    <col min="805" max="805" width="11.140625" style="6" customWidth="1"/>
    <col min="806" max="806" width="30" style="6" customWidth="1"/>
    <col min="807" max="1052" width="18.85546875" style="6"/>
    <col min="1053" max="1053" width="3.28515625" style="6" bestFit="1" customWidth="1"/>
    <col min="1054" max="1054" width="5.7109375" style="6" customWidth="1"/>
    <col min="1055" max="1055" width="39.7109375" style="6" customWidth="1"/>
    <col min="1056" max="1056" width="11.140625" style="6" customWidth="1"/>
    <col min="1057" max="1057" width="11.7109375" style="6" customWidth="1"/>
    <col min="1058" max="1058" width="11.85546875" style="6" customWidth="1"/>
    <col min="1059" max="1059" width="12.28515625" style="6" customWidth="1"/>
    <col min="1060" max="1060" width="15.140625" style="6" bestFit="1" customWidth="1"/>
    <col min="1061" max="1061" width="11.140625" style="6" customWidth="1"/>
    <col min="1062" max="1062" width="30" style="6" customWidth="1"/>
    <col min="1063" max="1308" width="18.85546875" style="6"/>
    <col min="1309" max="1309" width="3.28515625" style="6" bestFit="1" customWidth="1"/>
    <col min="1310" max="1310" width="5.7109375" style="6" customWidth="1"/>
    <col min="1311" max="1311" width="39.7109375" style="6" customWidth="1"/>
    <col min="1312" max="1312" width="11.140625" style="6" customWidth="1"/>
    <col min="1313" max="1313" width="11.7109375" style="6" customWidth="1"/>
    <col min="1314" max="1314" width="11.85546875" style="6" customWidth="1"/>
    <col min="1315" max="1315" width="12.28515625" style="6" customWidth="1"/>
    <col min="1316" max="1316" width="15.140625" style="6" bestFit="1" customWidth="1"/>
    <col min="1317" max="1317" width="11.140625" style="6" customWidth="1"/>
    <col min="1318" max="1318" width="30" style="6" customWidth="1"/>
    <col min="1319" max="1564" width="18.85546875" style="6"/>
    <col min="1565" max="1565" width="3.28515625" style="6" bestFit="1" customWidth="1"/>
    <col min="1566" max="1566" width="5.7109375" style="6" customWidth="1"/>
    <col min="1567" max="1567" width="39.7109375" style="6" customWidth="1"/>
    <col min="1568" max="1568" width="11.140625" style="6" customWidth="1"/>
    <col min="1569" max="1569" width="11.7109375" style="6" customWidth="1"/>
    <col min="1570" max="1570" width="11.85546875" style="6" customWidth="1"/>
    <col min="1571" max="1571" width="12.28515625" style="6" customWidth="1"/>
    <col min="1572" max="1572" width="15.140625" style="6" bestFit="1" customWidth="1"/>
    <col min="1573" max="1573" width="11.140625" style="6" customWidth="1"/>
    <col min="1574" max="1574" width="30" style="6" customWidth="1"/>
    <col min="1575" max="1820" width="18.85546875" style="6"/>
    <col min="1821" max="1821" width="3.28515625" style="6" bestFit="1" customWidth="1"/>
    <col min="1822" max="1822" width="5.7109375" style="6" customWidth="1"/>
    <col min="1823" max="1823" width="39.7109375" style="6" customWidth="1"/>
    <col min="1824" max="1824" width="11.140625" style="6" customWidth="1"/>
    <col min="1825" max="1825" width="11.7109375" style="6" customWidth="1"/>
    <col min="1826" max="1826" width="11.85546875" style="6" customWidth="1"/>
    <col min="1827" max="1827" width="12.28515625" style="6" customWidth="1"/>
    <col min="1828" max="1828" width="15.140625" style="6" bestFit="1" customWidth="1"/>
    <col min="1829" max="1829" width="11.140625" style="6" customWidth="1"/>
    <col min="1830" max="1830" width="30" style="6" customWidth="1"/>
    <col min="1831" max="2076" width="18.85546875" style="6"/>
    <col min="2077" max="2077" width="3.28515625" style="6" bestFit="1" customWidth="1"/>
    <col min="2078" max="2078" width="5.7109375" style="6" customWidth="1"/>
    <col min="2079" max="2079" width="39.7109375" style="6" customWidth="1"/>
    <col min="2080" max="2080" width="11.140625" style="6" customWidth="1"/>
    <col min="2081" max="2081" width="11.7109375" style="6" customWidth="1"/>
    <col min="2082" max="2082" width="11.85546875" style="6" customWidth="1"/>
    <col min="2083" max="2083" width="12.28515625" style="6" customWidth="1"/>
    <col min="2084" max="2084" width="15.140625" style="6" bestFit="1" customWidth="1"/>
    <col min="2085" max="2085" width="11.140625" style="6" customWidth="1"/>
    <col min="2086" max="2086" width="30" style="6" customWidth="1"/>
    <col min="2087" max="2332" width="18.85546875" style="6"/>
    <col min="2333" max="2333" width="3.28515625" style="6" bestFit="1" customWidth="1"/>
    <col min="2334" max="2334" width="5.7109375" style="6" customWidth="1"/>
    <col min="2335" max="2335" width="39.7109375" style="6" customWidth="1"/>
    <col min="2336" max="2336" width="11.140625" style="6" customWidth="1"/>
    <col min="2337" max="2337" width="11.7109375" style="6" customWidth="1"/>
    <col min="2338" max="2338" width="11.85546875" style="6" customWidth="1"/>
    <col min="2339" max="2339" width="12.28515625" style="6" customWidth="1"/>
    <col min="2340" max="2340" width="15.140625" style="6" bestFit="1" customWidth="1"/>
    <col min="2341" max="2341" width="11.140625" style="6" customWidth="1"/>
    <col min="2342" max="2342" width="30" style="6" customWidth="1"/>
    <col min="2343" max="2588" width="18.85546875" style="6"/>
    <col min="2589" max="2589" width="3.28515625" style="6" bestFit="1" customWidth="1"/>
    <col min="2590" max="2590" width="5.7109375" style="6" customWidth="1"/>
    <col min="2591" max="2591" width="39.7109375" style="6" customWidth="1"/>
    <col min="2592" max="2592" width="11.140625" style="6" customWidth="1"/>
    <col min="2593" max="2593" width="11.7109375" style="6" customWidth="1"/>
    <col min="2594" max="2594" width="11.85546875" style="6" customWidth="1"/>
    <col min="2595" max="2595" width="12.28515625" style="6" customWidth="1"/>
    <col min="2596" max="2596" width="15.140625" style="6" bestFit="1" customWidth="1"/>
    <col min="2597" max="2597" width="11.140625" style="6" customWidth="1"/>
    <col min="2598" max="2598" width="30" style="6" customWidth="1"/>
    <col min="2599" max="2844" width="18.85546875" style="6"/>
    <col min="2845" max="2845" width="3.28515625" style="6" bestFit="1" customWidth="1"/>
    <col min="2846" max="2846" width="5.7109375" style="6" customWidth="1"/>
    <col min="2847" max="2847" width="39.7109375" style="6" customWidth="1"/>
    <col min="2848" max="2848" width="11.140625" style="6" customWidth="1"/>
    <col min="2849" max="2849" width="11.7109375" style="6" customWidth="1"/>
    <col min="2850" max="2850" width="11.85546875" style="6" customWidth="1"/>
    <col min="2851" max="2851" width="12.28515625" style="6" customWidth="1"/>
    <col min="2852" max="2852" width="15.140625" style="6" bestFit="1" customWidth="1"/>
    <col min="2853" max="2853" width="11.140625" style="6" customWidth="1"/>
    <col min="2854" max="2854" width="30" style="6" customWidth="1"/>
    <col min="2855" max="3100" width="18.85546875" style="6"/>
    <col min="3101" max="3101" width="3.28515625" style="6" bestFit="1" customWidth="1"/>
    <col min="3102" max="3102" width="5.7109375" style="6" customWidth="1"/>
    <col min="3103" max="3103" width="39.7109375" style="6" customWidth="1"/>
    <col min="3104" max="3104" width="11.140625" style="6" customWidth="1"/>
    <col min="3105" max="3105" width="11.7109375" style="6" customWidth="1"/>
    <col min="3106" max="3106" width="11.85546875" style="6" customWidth="1"/>
    <col min="3107" max="3107" width="12.28515625" style="6" customWidth="1"/>
    <col min="3108" max="3108" width="15.140625" style="6" bestFit="1" customWidth="1"/>
    <col min="3109" max="3109" width="11.140625" style="6" customWidth="1"/>
    <col min="3110" max="3110" width="30" style="6" customWidth="1"/>
    <col min="3111" max="3356" width="18.85546875" style="6"/>
    <col min="3357" max="3357" width="3.28515625" style="6" bestFit="1" customWidth="1"/>
    <col min="3358" max="3358" width="5.7109375" style="6" customWidth="1"/>
    <col min="3359" max="3359" width="39.7109375" style="6" customWidth="1"/>
    <col min="3360" max="3360" width="11.140625" style="6" customWidth="1"/>
    <col min="3361" max="3361" width="11.7109375" style="6" customWidth="1"/>
    <col min="3362" max="3362" width="11.85546875" style="6" customWidth="1"/>
    <col min="3363" max="3363" width="12.28515625" style="6" customWidth="1"/>
    <col min="3364" max="3364" width="15.140625" style="6" bestFit="1" customWidth="1"/>
    <col min="3365" max="3365" width="11.140625" style="6" customWidth="1"/>
    <col min="3366" max="3366" width="30" style="6" customWidth="1"/>
    <col min="3367" max="3612" width="18.85546875" style="6"/>
    <col min="3613" max="3613" width="3.28515625" style="6" bestFit="1" customWidth="1"/>
    <col min="3614" max="3614" width="5.7109375" style="6" customWidth="1"/>
    <col min="3615" max="3615" width="39.7109375" style="6" customWidth="1"/>
    <col min="3616" max="3616" width="11.140625" style="6" customWidth="1"/>
    <col min="3617" max="3617" width="11.7109375" style="6" customWidth="1"/>
    <col min="3618" max="3618" width="11.85546875" style="6" customWidth="1"/>
    <col min="3619" max="3619" width="12.28515625" style="6" customWidth="1"/>
    <col min="3620" max="3620" width="15.140625" style="6" bestFit="1" customWidth="1"/>
    <col min="3621" max="3621" width="11.140625" style="6" customWidth="1"/>
    <col min="3622" max="3622" width="30" style="6" customWidth="1"/>
    <col min="3623" max="3868" width="18.85546875" style="6"/>
    <col min="3869" max="3869" width="3.28515625" style="6" bestFit="1" customWidth="1"/>
    <col min="3870" max="3870" width="5.7109375" style="6" customWidth="1"/>
    <col min="3871" max="3871" width="39.7109375" style="6" customWidth="1"/>
    <col min="3872" max="3872" width="11.140625" style="6" customWidth="1"/>
    <col min="3873" max="3873" width="11.7109375" style="6" customWidth="1"/>
    <col min="3874" max="3874" width="11.85546875" style="6" customWidth="1"/>
    <col min="3875" max="3875" width="12.28515625" style="6" customWidth="1"/>
    <col min="3876" max="3876" width="15.140625" style="6" bestFit="1" customWidth="1"/>
    <col min="3877" max="3877" width="11.140625" style="6" customWidth="1"/>
    <col min="3878" max="3878" width="30" style="6" customWidth="1"/>
    <col min="3879" max="4124" width="18.85546875" style="6"/>
    <col min="4125" max="4125" width="3.28515625" style="6" bestFit="1" customWidth="1"/>
    <col min="4126" max="4126" width="5.7109375" style="6" customWidth="1"/>
    <col min="4127" max="4127" width="39.7109375" style="6" customWidth="1"/>
    <col min="4128" max="4128" width="11.140625" style="6" customWidth="1"/>
    <col min="4129" max="4129" width="11.7109375" style="6" customWidth="1"/>
    <col min="4130" max="4130" width="11.85546875" style="6" customWidth="1"/>
    <col min="4131" max="4131" width="12.28515625" style="6" customWidth="1"/>
    <col min="4132" max="4132" width="15.140625" style="6" bestFit="1" customWidth="1"/>
    <col min="4133" max="4133" width="11.140625" style="6" customWidth="1"/>
    <col min="4134" max="4134" width="30" style="6" customWidth="1"/>
    <col min="4135" max="4380" width="18.85546875" style="6"/>
    <col min="4381" max="4381" width="3.28515625" style="6" bestFit="1" customWidth="1"/>
    <col min="4382" max="4382" width="5.7109375" style="6" customWidth="1"/>
    <col min="4383" max="4383" width="39.7109375" style="6" customWidth="1"/>
    <col min="4384" max="4384" width="11.140625" style="6" customWidth="1"/>
    <col min="4385" max="4385" width="11.7109375" style="6" customWidth="1"/>
    <col min="4386" max="4386" width="11.85546875" style="6" customWidth="1"/>
    <col min="4387" max="4387" width="12.28515625" style="6" customWidth="1"/>
    <col min="4388" max="4388" width="15.140625" style="6" bestFit="1" customWidth="1"/>
    <col min="4389" max="4389" width="11.140625" style="6" customWidth="1"/>
    <col min="4390" max="4390" width="30" style="6" customWidth="1"/>
    <col min="4391" max="4636" width="18.85546875" style="6"/>
    <col min="4637" max="4637" width="3.28515625" style="6" bestFit="1" customWidth="1"/>
    <col min="4638" max="4638" width="5.7109375" style="6" customWidth="1"/>
    <col min="4639" max="4639" width="39.7109375" style="6" customWidth="1"/>
    <col min="4640" max="4640" width="11.140625" style="6" customWidth="1"/>
    <col min="4641" max="4641" width="11.7109375" style="6" customWidth="1"/>
    <col min="4642" max="4642" width="11.85546875" style="6" customWidth="1"/>
    <col min="4643" max="4643" width="12.28515625" style="6" customWidth="1"/>
    <col min="4644" max="4644" width="15.140625" style="6" bestFit="1" customWidth="1"/>
    <col min="4645" max="4645" width="11.140625" style="6" customWidth="1"/>
    <col min="4646" max="4646" width="30" style="6" customWidth="1"/>
    <col min="4647" max="4892" width="18.85546875" style="6"/>
    <col min="4893" max="4893" width="3.28515625" style="6" bestFit="1" customWidth="1"/>
    <col min="4894" max="4894" width="5.7109375" style="6" customWidth="1"/>
    <col min="4895" max="4895" width="39.7109375" style="6" customWidth="1"/>
    <col min="4896" max="4896" width="11.140625" style="6" customWidth="1"/>
    <col min="4897" max="4897" width="11.7109375" style="6" customWidth="1"/>
    <col min="4898" max="4898" width="11.85546875" style="6" customWidth="1"/>
    <col min="4899" max="4899" width="12.28515625" style="6" customWidth="1"/>
    <col min="4900" max="4900" width="15.140625" style="6" bestFit="1" customWidth="1"/>
    <col min="4901" max="4901" width="11.140625" style="6" customWidth="1"/>
    <col min="4902" max="4902" width="30" style="6" customWidth="1"/>
    <col min="4903" max="5148" width="18.85546875" style="6"/>
    <col min="5149" max="5149" width="3.28515625" style="6" bestFit="1" customWidth="1"/>
    <col min="5150" max="5150" width="5.7109375" style="6" customWidth="1"/>
    <col min="5151" max="5151" width="39.7109375" style="6" customWidth="1"/>
    <col min="5152" max="5152" width="11.140625" style="6" customWidth="1"/>
    <col min="5153" max="5153" width="11.7109375" style="6" customWidth="1"/>
    <col min="5154" max="5154" width="11.85546875" style="6" customWidth="1"/>
    <col min="5155" max="5155" width="12.28515625" style="6" customWidth="1"/>
    <col min="5156" max="5156" width="15.140625" style="6" bestFit="1" customWidth="1"/>
    <col min="5157" max="5157" width="11.140625" style="6" customWidth="1"/>
    <col min="5158" max="5158" width="30" style="6" customWidth="1"/>
    <col min="5159" max="5404" width="18.85546875" style="6"/>
    <col min="5405" max="5405" width="3.28515625" style="6" bestFit="1" customWidth="1"/>
    <col min="5406" max="5406" width="5.7109375" style="6" customWidth="1"/>
    <col min="5407" max="5407" width="39.7109375" style="6" customWidth="1"/>
    <col min="5408" max="5408" width="11.140625" style="6" customWidth="1"/>
    <col min="5409" max="5409" width="11.7109375" style="6" customWidth="1"/>
    <col min="5410" max="5410" width="11.85546875" style="6" customWidth="1"/>
    <col min="5411" max="5411" width="12.28515625" style="6" customWidth="1"/>
    <col min="5412" max="5412" width="15.140625" style="6" bestFit="1" customWidth="1"/>
    <col min="5413" max="5413" width="11.140625" style="6" customWidth="1"/>
    <col min="5414" max="5414" width="30" style="6" customWidth="1"/>
    <col min="5415" max="5660" width="18.85546875" style="6"/>
    <col min="5661" max="5661" width="3.28515625" style="6" bestFit="1" customWidth="1"/>
    <col min="5662" max="5662" width="5.7109375" style="6" customWidth="1"/>
    <col min="5663" max="5663" width="39.7109375" style="6" customWidth="1"/>
    <col min="5664" max="5664" width="11.140625" style="6" customWidth="1"/>
    <col min="5665" max="5665" width="11.7109375" style="6" customWidth="1"/>
    <col min="5666" max="5666" width="11.85546875" style="6" customWidth="1"/>
    <col min="5667" max="5667" width="12.28515625" style="6" customWidth="1"/>
    <col min="5668" max="5668" width="15.140625" style="6" bestFit="1" customWidth="1"/>
    <col min="5669" max="5669" width="11.140625" style="6" customWidth="1"/>
    <col min="5670" max="5670" width="30" style="6" customWidth="1"/>
    <col min="5671" max="5916" width="18.85546875" style="6"/>
    <col min="5917" max="5917" width="3.28515625" style="6" bestFit="1" customWidth="1"/>
    <col min="5918" max="5918" width="5.7109375" style="6" customWidth="1"/>
    <col min="5919" max="5919" width="39.7109375" style="6" customWidth="1"/>
    <col min="5920" max="5920" width="11.140625" style="6" customWidth="1"/>
    <col min="5921" max="5921" width="11.7109375" style="6" customWidth="1"/>
    <col min="5922" max="5922" width="11.85546875" style="6" customWidth="1"/>
    <col min="5923" max="5923" width="12.28515625" style="6" customWidth="1"/>
    <col min="5924" max="5924" width="15.140625" style="6" bestFit="1" customWidth="1"/>
    <col min="5925" max="5925" width="11.140625" style="6" customWidth="1"/>
    <col min="5926" max="5926" width="30" style="6" customWidth="1"/>
    <col min="5927" max="6172" width="18.85546875" style="6"/>
    <col min="6173" max="6173" width="3.28515625" style="6" bestFit="1" customWidth="1"/>
    <col min="6174" max="6174" width="5.7109375" style="6" customWidth="1"/>
    <col min="6175" max="6175" width="39.7109375" style="6" customWidth="1"/>
    <col min="6176" max="6176" width="11.140625" style="6" customWidth="1"/>
    <col min="6177" max="6177" width="11.7109375" style="6" customWidth="1"/>
    <col min="6178" max="6178" width="11.85546875" style="6" customWidth="1"/>
    <col min="6179" max="6179" width="12.28515625" style="6" customWidth="1"/>
    <col min="6180" max="6180" width="15.140625" style="6" bestFit="1" customWidth="1"/>
    <col min="6181" max="6181" width="11.140625" style="6" customWidth="1"/>
    <col min="6182" max="6182" width="30" style="6" customWidth="1"/>
    <col min="6183" max="6428" width="18.85546875" style="6"/>
    <col min="6429" max="6429" width="3.28515625" style="6" bestFit="1" customWidth="1"/>
    <col min="6430" max="6430" width="5.7109375" style="6" customWidth="1"/>
    <col min="6431" max="6431" width="39.7109375" style="6" customWidth="1"/>
    <col min="6432" max="6432" width="11.140625" style="6" customWidth="1"/>
    <col min="6433" max="6433" width="11.7109375" style="6" customWidth="1"/>
    <col min="6434" max="6434" width="11.85546875" style="6" customWidth="1"/>
    <col min="6435" max="6435" width="12.28515625" style="6" customWidth="1"/>
    <col min="6436" max="6436" width="15.140625" style="6" bestFit="1" customWidth="1"/>
    <col min="6437" max="6437" width="11.140625" style="6" customWidth="1"/>
    <col min="6438" max="6438" width="30" style="6" customWidth="1"/>
    <col min="6439" max="6684" width="18.85546875" style="6"/>
    <col min="6685" max="6685" width="3.28515625" style="6" bestFit="1" customWidth="1"/>
    <col min="6686" max="6686" width="5.7109375" style="6" customWidth="1"/>
    <col min="6687" max="6687" width="39.7109375" style="6" customWidth="1"/>
    <col min="6688" max="6688" width="11.140625" style="6" customWidth="1"/>
    <col min="6689" max="6689" width="11.7109375" style="6" customWidth="1"/>
    <col min="6690" max="6690" width="11.85546875" style="6" customWidth="1"/>
    <col min="6691" max="6691" width="12.28515625" style="6" customWidth="1"/>
    <col min="6692" max="6692" width="15.140625" style="6" bestFit="1" customWidth="1"/>
    <col min="6693" max="6693" width="11.140625" style="6" customWidth="1"/>
    <col min="6694" max="6694" width="30" style="6" customWidth="1"/>
    <col min="6695" max="6940" width="18.85546875" style="6"/>
    <col min="6941" max="6941" width="3.28515625" style="6" bestFit="1" customWidth="1"/>
    <col min="6942" max="6942" width="5.7109375" style="6" customWidth="1"/>
    <col min="6943" max="6943" width="39.7109375" style="6" customWidth="1"/>
    <col min="6944" max="6944" width="11.140625" style="6" customWidth="1"/>
    <col min="6945" max="6945" width="11.7109375" style="6" customWidth="1"/>
    <col min="6946" max="6946" width="11.85546875" style="6" customWidth="1"/>
    <col min="6947" max="6947" width="12.28515625" style="6" customWidth="1"/>
    <col min="6948" max="6948" width="15.140625" style="6" bestFit="1" customWidth="1"/>
    <col min="6949" max="6949" width="11.140625" style="6" customWidth="1"/>
    <col min="6950" max="6950" width="30" style="6" customWidth="1"/>
    <col min="6951" max="7196" width="18.85546875" style="6"/>
    <col min="7197" max="7197" width="3.28515625" style="6" bestFit="1" customWidth="1"/>
    <col min="7198" max="7198" width="5.7109375" style="6" customWidth="1"/>
    <col min="7199" max="7199" width="39.7109375" style="6" customWidth="1"/>
    <col min="7200" max="7200" width="11.140625" style="6" customWidth="1"/>
    <col min="7201" max="7201" width="11.7109375" style="6" customWidth="1"/>
    <col min="7202" max="7202" width="11.85546875" style="6" customWidth="1"/>
    <col min="7203" max="7203" width="12.28515625" style="6" customWidth="1"/>
    <col min="7204" max="7204" width="15.140625" style="6" bestFit="1" customWidth="1"/>
    <col min="7205" max="7205" width="11.140625" style="6" customWidth="1"/>
    <col min="7206" max="7206" width="30" style="6" customWidth="1"/>
    <col min="7207" max="7452" width="18.85546875" style="6"/>
    <col min="7453" max="7453" width="3.28515625" style="6" bestFit="1" customWidth="1"/>
    <col min="7454" max="7454" width="5.7109375" style="6" customWidth="1"/>
    <col min="7455" max="7455" width="39.7109375" style="6" customWidth="1"/>
    <col min="7456" max="7456" width="11.140625" style="6" customWidth="1"/>
    <col min="7457" max="7457" width="11.7109375" style="6" customWidth="1"/>
    <col min="7458" max="7458" width="11.85546875" style="6" customWidth="1"/>
    <col min="7459" max="7459" width="12.28515625" style="6" customWidth="1"/>
    <col min="7460" max="7460" width="15.140625" style="6" bestFit="1" customWidth="1"/>
    <col min="7461" max="7461" width="11.140625" style="6" customWidth="1"/>
    <col min="7462" max="7462" width="30" style="6" customWidth="1"/>
    <col min="7463" max="7708" width="18.85546875" style="6"/>
    <col min="7709" max="7709" width="3.28515625" style="6" bestFit="1" customWidth="1"/>
    <col min="7710" max="7710" width="5.7109375" style="6" customWidth="1"/>
    <col min="7711" max="7711" width="39.7109375" style="6" customWidth="1"/>
    <col min="7712" max="7712" width="11.140625" style="6" customWidth="1"/>
    <col min="7713" max="7713" width="11.7109375" style="6" customWidth="1"/>
    <col min="7714" max="7714" width="11.85546875" style="6" customWidth="1"/>
    <col min="7715" max="7715" width="12.28515625" style="6" customWidth="1"/>
    <col min="7716" max="7716" width="15.140625" style="6" bestFit="1" customWidth="1"/>
    <col min="7717" max="7717" width="11.140625" style="6" customWidth="1"/>
    <col min="7718" max="7718" width="30" style="6" customWidth="1"/>
    <col min="7719" max="7964" width="18.85546875" style="6"/>
    <col min="7965" max="7965" width="3.28515625" style="6" bestFit="1" customWidth="1"/>
    <col min="7966" max="7966" width="5.7109375" style="6" customWidth="1"/>
    <col min="7967" max="7967" width="39.7109375" style="6" customWidth="1"/>
    <col min="7968" max="7968" width="11.140625" style="6" customWidth="1"/>
    <col min="7969" max="7969" width="11.7109375" style="6" customWidth="1"/>
    <col min="7970" max="7970" width="11.85546875" style="6" customWidth="1"/>
    <col min="7971" max="7971" width="12.28515625" style="6" customWidth="1"/>
    <col min="7972" max="7972" width="15.140625" style="6" bestFit="1" customWidth="1"/>
    <col min="7973" max="7973" width="11.140625" style="6" customWidth="1"/>
    <col min="7974" max="7974" width="30" style="6" customWidth="1"/>
    <col min="7975" max="8220" width="18.85546875" style="6"/>
    <col min="8221" max="8221" width="3.28515625" style="6" bestFit="1" customWidth="1"/>
    <col min="8222" max="8222" width="5.7109375" style="6" customWidth="1"/>
    <col min="8223" max="8223" width="39.7109375" style="6" customWidth="1"/>
    <col min="8224" max="8224" width="11.140625" style="6" customWidth="1"/>
    <col min="8225" max="8225" width="11.7109375" style="6" customWidth="1"/>
    <col min="8226" max="8226" width="11.85546875" style="6" customWidth="1"/>
    <col min="8227" max="8227" width="12.28515625" style="6" customWidth="1"/>
    <col min="8228" max="8228" width="15.140625" style="6" bestFit="1" customWidth="1"/>
    <col min="8229" max="8229" width="11.140625" style="6" customWidth="1"/>
    <col min="8230" max="8230" width="30" style="6" customWidth="1"/>
    <col min="8231" max="8476" width="18.85546875" style="6"/>
    <col min="8477" max="8477" width="3.28515625" style="6" bestFit="1" customWidth="1"/>
    <col min="8478" max="8478" width="5.7109375" style="6" customWidth="1"/>
    <col min="8479" max="8479" width="39.7109375" style="6" customWidth="1"/>
    <col min="8480" max="8480" width="11.140625" style="6" customWidth="1"/>
    <col min="8481" max="8481" width="11.7109375" style="6" customWidth="1"/>
    <col min="8482" max="8482" width="11.85546875" style="6" customWidth="1"/>
    <col min="8483" max="8483" width="12.28515625" style="6" customWidth="1"/>
    <col min="8484" max="8484" width="15.140625" style="6" bestFit="1" customWidth="1"/>
    <col min="8485" max="8485" width="11.140625" style="6" customWidth="1"/>
    <col min="8486" max="8486" width="30" style="6" customWidth="1"/>
    <col min="8487" max="8732" width="18.85546875" style="6"/>
    <col min="8733" max="8733" width="3.28515625" style="6" bestFit="1" customWidth="1"/>
    <col min="8734" max="8734" width="5.7109375" style="6" customWidth="1"/>
    <col min="8735" max="8735" width="39.7109375" style="6" customWidth="1"/>
    <col min="8736" max="8736" width="11.140625" style="6" customWidth="1"/>
    <col min="8737" max="8737" width="11.7109375" style="6" customWidth="1"/>
    <col min="8738" max="8738" width="11.85546875" style="6" customWidth="1"/>
    <col min="8739" max="8739" width="12.28515625" style="6" customWidth="1"/>
    <col min="8740" max="8740" width="15.140625" style="6" bestFit="1" customWidth="1"/>
    <col min="8741" max="8741" width="11.140625" style="6" customWidth="1"/>
    <col min="8742" max="8742" width="30" style="6" customWidth="1"/>
    <col min="8743" max="8988" width="18.85546875" style="6"/>
    <col min="8989" max="8989" width="3.28515625" style="6" bestFit="1" customWidth="1"/>
    <col min="8990" max="8990" width="5.7109375" style="6" customWidth="1"/>
    <col min="8991" max="8991" width="39.7109375" style="6" customWidth="1"/>
    <col min="8992" max="8992" width="11.140625" style="6" customWidth="1"/>
    <col min="8993" max="8993" width="11.7109375" style="6" customWidth="1"/>
    <col min="8994" max="8994" width="11.85546875" style="6" customWidth="1"/>
    <col min="8995" max="8995" width="12.28515625" style="6" customWidth="1"/>
    <col min="8996" max="8996" width="15.140625" style="6" bestFit="1" customWidth="1"/>
    <col min="8997" max="8997" width="11.140625" style="6" customWidth="1"/>
    <col min="8998" max="8998" width="30" style="6" customWidth="1"/>
    <col min="8999" max="9244" width="18.85546875" style="6"/>
    <col min="9245" max="9245" width="3.28515625" style="6" bestFit="1" customWidth="1"/>
    <col min="9246" max="9246" width="5.7109375" style="6" customWidth="1"/>
    <col min="9247" max="9247" width="39.7109375" style="6" customWidth="1"/>
    <col min="9248" max="9248" width="11.140625" style="6" customWidth="1"/>
    <col min="9249" max="9249" width="11.7109375" style="6" customWidth="1"/>
    <col min="9250" max="9250" width="11.85546875" style="6" customWidth="1"/>
    <col min="9251" max="9251" width="12.28515625" style="6" customWidth="1"/>
    <col min="9252" max="9252" width="15.140625" style="6" bestFit="1" customWidth="1"/>
    <col min="9253" max="9253" width="11.140625" style="6" customWidth="1"/>
    <col min="9254" max="9254" width="30" style="6" customWidth="1"/>
    <col min="9255" max="9500" width="18.85546875" style="6"/>
    <col min="9501" max="9501" width="3.28515625" style="6" bestFit="1" customWidth="1"/>
    <col min="9502" max="9502" width="5.7109375" style="6" customWidth="1"/>
    <col min="9503" max="9503" width="39.7109375" style="6" customWidth="1"/>
    <col min="9504" max="9504" width="11.140625" style="6" customWidth="1"/>
    <col min="9505" max="9505" width="11.7109375" style="6" customWidth="1"/>
    <col min="9506" max="9506" width="11.85546875" style="6" customWidth="1"/>
    <col min="9507" max="9507" width="12.28515625" style="6" customWidth="1"/>
    <col min="9508" max="9508" width="15.140625" style="6" bestFit="1" customWidth="1"/>
    <col min="9509" max="9509" width="11.140625" style="6" customWidth="1"/>
    <col min="9510" max="9510" width="30" style="6" customWidth="1"/>
    <col min="9511" max="9756" width="18.85546875" style="6"/>
    <col min="9757" max="9757" width="3.28515625" style="6" bestFit="1" customWidth="1"/>
    <col min="9758" max="9758" width="5.7109375" style="6" customWidth="1"/>
    <col min="9759" max="9759" width="39.7109375" style="6" customWidth="1"/>
    <col min="9760" max="9760" width="11.140625" style="6" customWidth="1"/>
    <col min="9761" max="9761" width="11.7109375" style="6" customWidth="1"/>
    <col min="9762" max="9762" width="11.85546875" style="6" customWidth="1"/>
    <col min="9763" max="9763" width="12.28515625" style="6" customWidth="1"/>
    <col min="9764" max="9764" width="15.140625" style="6" bestFit="1" customWidth="1"/>
    <col min="9765" max="9765" width="11.140625" style="6" customWidth="1"/>
    <col min="9766" max="9766" width="30" style="6" customWidth="1"/>
    <col min="9767" max="10012" width="18.85546875" style="6"/>
    <col min="10013" max="10013" width="3.28515625" style="6" bestFit="1" customWidth="1"/>
    <col min="10014" max="10014" width="5.7109375" style="6" customWidth="1"/>
    <col min="10015" max="10015" width="39.7109375" style="6" customWidth="1"/>
    <col min="10016" max="10016" width="11.140625" style="6" customWidth="1"/>
    <col min="10017" max="10017" width="11.7109375" style="6" customWidth="1"/>
    <col min="10018" max="10018" width="11.85546875" style="6" customWidth="1"/>
    <col min="10019" max="10019" width="12.28515625" style="6" customWidth="1"/>
    <col min="10020" max="10020" width="15.140625" style="6" bestFit="1" customWidth="1"/>
    <col min="10021" max="10021" width="11.140625" style="6" customWidth="1"/>
    <col min="10022" max="10022" width="30" style="6" customWidth="1"/>
    <col min="10023" max="10268" width="18.85546875" style="6"/>
    <col min="10269" max="10269" width="3.28515625" style="6" bestFit="1" customWidth="1"/>
    <col min="10270" max="10270" width="5.7109375" style="6" customWidth="1"/>
    <col min="10271" max="10271" width="39.7109375" style="6" customWidth="1"/>
    <col min="10272" max="10272" width="11.140625" style="6" customWidth="1"/>
    <col min="10273" max="10273" width="11.7109375" style="6" customWidth="1"/>
    <col min="10274" max="10274" width="11.85546875" style="6" customWidth="1"/>
    <col min="10275" max="10275" width="12.28515625" style="6" customWidth="1"/>
    <col min="10276" max="10276" width="15.140625" style="6" bestFit="1" customWidth="1"/>
    <col min="10277" max="10277" width="11.140625" style="6" customWidth="1"/>
    <col min="10278" max="10278" width="30" style="6" customWidth="1"/>
    <col min="10279" max="10524" width="18.85546875" style="6"/>
    <col min="10525" max="10525" width="3.28515625" style="6" bestFit="1" customWidth="1"/>
    <col min="10526" max="10526" width="5.7109375" style="6" customWidth="1"/>
    <col min="10527" max="10527" width="39.7109375" style="6" customWidth="1"/>
    <col min="10528" max="10528" width="11.140625" style="6" customWidth="1"/>
    <col min="10529" max="10529" width="11.7109375" style="6" customWidth="1"/>
    <col min="10530" max="10530" width="11.85546875" style="6" customWidth="1"/>
    <col min="10531" max="10531" width="12.28515625" style="6" customWidth="1"/>
    <col min="10532" max="10532" width="15.140625" style="6" bestFit="1" customWidth="1"/>
    <col min="10533" max="10533" width="11.140625" style="6" customWidth="1"/>
    <col min="10534" max="10534" width="30" style="6" customWidth="1"/>
    <col min="10535" max="10780" width="18.85546875" style="6"/>
    <col min="10781" max="10781" width="3.28515625" style="6" bestFit="1" customWidth="1"/>
    <col min="10782" max="10782" width="5.7109375" style="6" customWidth="1"/>
    <col min="10783" max="10783" width="39.7109375" style="6" customWidth="1"/>
    <col min="10784" max="10784" width="11.140625" style="6" customWidth="1"/>
    <col min="10785" max="10785" width="11.7109375" style="6" customWidth="1"/>
    <col min="10786" max="10786" width="11.85546875" style="6" customWidth="1"/>
    <col min="10787" max="10787" width="12.28515625" style="6" customWidth="1"/>
    <col min="10788" max="10788" width="15.140625" style="6" bestFit="1" customWidth="1"/>
    <col min="10789" max="10789" width="11.140625" style="6" customWidth="1"/>
    <col min="10790" max="10790" width="30" style="6" customWidth="1"/>
    <col min="10791" max="11036" width="18.85546875" style="6"/>
    <col min="11037" max="11037" width="3.28515625" style="6" bestFit="1" customWidth="1"/>
    <col min="11038" max="11038" width="5.7109375" style="6" customWidth="1"/>
    <col min="11039" max="11039" width="39.7109375" style="6" customWidth="1"/>
    <col min="11040" max="11040" width="11.140625" style="6" customWidth="1"/>
    <col min="11041" max="11041" width="11.7109375" style="6" customWidth="1"/>
    <col min="11042" max="11042" width="11.85546875" style="6" customWidth="1"/>
    <col min="11043" max="11043" width="12.28515625" style="6" customWidth="1"/>
    <col min="11044" max="11044" width="15.140625" style="6" bestFit="1" customWidth="1"/>
    <col min="11045" max="11045" width="11.140625" style="6" customWidth="1"/>
    <col min="11046" max="11046" width="30" style="6" customWidth="1"/>
    <col min="11047" max="11292" width="18.85546875" style="6"/>
    <col min="11293" max="11293" width="3.28515625" style="6" bestFit="1" customWidth="1"/>
    <col min="11294" max="11294" width="5.7109375" style="6" customWidth="1"/>
    <col min="11295" max="11295" width="39.7109375" style="6" customWidth="1"/>
    <col min="11296" max="11296" width="11.140625" style="6" customWidth="1"/>
    <col min="11297" max="11297" width="11.7109375" style="6" customWidth="1"/>
    <col min="11298" max="11298" width="11.85546875" style="6" customWidth="1"/>
    <col min="11299" max="11299" width="12.28515625" style="6" customWidth="1"/>
    <col min="11300" max="11300" width="15.140625" style="6" bestFit="1" customWidth="1"/>
    <col min="11301" max="11301" width="11.140625" style="6" customWidth="1"/>
    <col min="11302" max="11302" width="30" style="6" customWidth="1"/>
    <col min="11303" max="11548" width="18.85546875" style="6"/>
    <col min="11549" max="11549" width="3.28515625" style="6" bestFit="1" customWidth="1"/>
    <col min="11550" max="11550" width="5.7109375" style="6" customWidth="1"/>
    <col min="11551" max="11551" width="39.7109375" style="6" customWidth="1"/>
    <col min="11552" max="11552" width="11.140625" style="6" customWidth="1"/>
    <col min="11553" max="11553" width="11.7109375" style="6" customWidth="1"/>
    <col min="11554" max="11554" width="11.85546875" style="6" customWidth="1"/>
    <col min="11555" max="11555" width="12.28515625" style="6" customWidth="1"/>
    <col min="11556" max="11556" width="15.140625" style="6" bestFit="1" customWidth="1"/>
    <col min="11557" max="11557" width="11.140625" style="6" customWidth="1"/>
    <col min="11558" max="11558" width="30" style="6" customWidth="1"/>
    <col min="11559" max="11804" width="18.85546875" style="6"/>
    <col min="11805" max="11805" width="3.28515625" style="6" bestFit="1" customWidth="1"/>
    <col min="11806" max="11806" width="5.7109375" style="6" customWidth="1"/>
    <col min="11807" max="11807" width="39.7109375" style="6" customWidth="1"/>
    <col min="11808" max="11808" width="11.140625" style="6" customWidth="1"/>
    <col min="11809" max="11809" width="11.7109375" style="6" customWidth="1"/>
    <col min="11810" max="11810" width="11.85546875" style="6" customWidth="1"/>
    <col min="11811" max="11811" width="12.28515625" style="6" customWidth="1"/>
    <col min="11812" max="11812" width="15.140625" style="6" bestFit="1" customWidth="1"/>
    <col min="11813" max="11813" width="11.140625" style="6" customWidth="1"/>
    <col min="11814" max="11814" width="30" style="6" customWidth="1"/>
    <col min="11815" max="12060" width="18.85546875" style="6"/>
    <col min="12061" max="12061" width="3.28515625" style="6" bestFit="1" customWidth="1"/>
    <col min="12062" max="12062" width="5.7109375" style="6" customWidth="1"/>
    <col min="12063" max="12063" width="39.7109375" style="6" customWidth="1"/>
    <col min="12064" max="12064" width="11.140625" style="6" customWidth="1"/>
    <col min="12065" max="12065" width="11.7109375" style="6" customWidth="1"/>
    <col min="12066" max="12066" width="11.85546875" style="6" customWidth="1"/>
    <col min="12067" max="12067" width="12.28515625" style="6" customWidth="1"/>
    <col min="12068" max="12068" width="15.140625" style="6" bestFit="1" customWidth="1"/>
    <col min="12069" max="12069" width="11.140625" style="6" customWidth="1"/>
    <col min="12070" max="12070" width="30" style="6" customWidth="1"/>
    <col min="12071" max="12316" width="18.85546875" style="6"/>
    <col min="12317" max="12317" width="3.28515625" style="6" bestFit="1" customWidth="1"/>
    <col min="12318" max="12318" width="5.7109375" style="6" customWidth="1"/>
    <col min="12319" max="12319" width="39.7109375" style="6" customWidth="1"/>
    <col min="12320" max="12320" width="11.140625" style="6" customWidth="1"/>
    <col min="12321" max="12321" width="11.7109375" style="6" customWidth="1"/>
    <col min="12322" max="12322" width="11.85546875" style="6" customWidth="1"/>
    <col min="12323" max="12323" width="12.28515625" style="6" customWidth="1"/>
    <col min="12324" max="12324" width="15.140625" style="6" bestFit="1" customWidth="1"/>
    <col min="12325" max="12325" width="11.140625" style="6" customWidth="1"/>
    <col min="12326" max="12326" width="30" style="6" customWidth="1"/>
    <col min="12327" max="12572" width="18.85546875" style="6"/>
    <col min="12573" max="12573" width="3.28515625" style="6" bestFit="1" customWidth="1"/>
    <col min="12574" max="12574" width="5.7109375" style="6" customWidth="1"/>
    <col min="12575" max="12575" width="39.7109375" style="6" customWidth="1"/>
    <col min="12576" max="12576" width="11.140625" style="6" customWidth="1"/>
    <col min="12577" max="12577" width="11.7109375" style="6" customWidth="1"/>
    <col min="12578" max="12578" width="11.85546875" style="6" customWidth="1"/>
    <col min="12579" max="12579" width="12.28515625" style="6" customWidth="1"/>
    <col min="12580" max="12580" width="15.140625" style="6" bestFit="1" customWidth="1"/>
    <col min="12581" max="12581" width="11.140625" style="6" customWidth="1"/>
    <col min="12582" max="12582" width="30" style="6" customWidth="1"/>
    <col min="12583" max="12828" width="18.85546875" style="6"/>
    <col min="12829" max="12829" width="3.28515625" style="6" bestFit="1" customWidth="1"/>
    <col min="12830" max="12830" width="5.7109375" style="6" customWidth="1"/>
    <col min="12831" max="12831" width="39.7109375" style="6" customWidth="1"/>
    <col min="12832" max="12832" width="11.140625" style="6" customWidth="1"/>
    <col min="12833" max="12833" width="11.7109375" style="6" customWidth="1"/>
    <col min="12834" max="12834" width="11.85546875" style="6" customWidth="1"/>
    <col min="12835" max="12835" width="12.28515625" style="6" customWidth="1"/>
    <col min="12836" max="12836" width="15.140625" style="6" bestFit="1" customWidth="1"/>
    <col min="12837" max="12837" width="11.140625" style="6" customWidth="1"/>
    <col min="12838" max="12838" width="30" style="6" customWidth="1"/>
    <col min="12839" max="13084" width="18.85546875" style="6"/>
    <col min="13085" max="13085" width="3.28515625" style="6" bestFit="1" customWidth="1"/>
    <col min="13086" max="13086" width="5.7109375" style="6" customWidth="1"/>
    <col min="13087" max="13087" width="39.7109375" style="6" customWidth="1"/>
    <col min="13088" max="13088" width="11.140625" style="6" customWidth="1"/>
    <col min="13089" max="13089" width="11.7109375" style="6" customWidth="1"/>
    <col min="13090" max="13090" width="11.85546875" style="6" customWidth="1"/>
    <col min="13091" max="13091" width="12.28515625" style="6" customWidth="1"/>
    <col min="13092" max="13092" width="15.140625" style="6" bestFit="1" customWidth="1"/>
    <col min="13093" max="13093" width="11.140625" style="6" customWidth="1"/>
    <col min="13094" max="13094" width="30" style="6" customWidth="1"/>
    <col min="13095" max="13340" width="18.85546875" style="6"/>
    <col min="13341" max="13341" width="3.28515625" style="6" bestFit="1" customWidth="1"/>
    <col min="13342" max="13342" width="5.7109375" style="6" customWidth="1"/>
    <col min="13343" max="13343" width="39.7109375" style="6" customWidth="1"/>
    <col min="13344" max="13344" width="11.140625" style="6" customWidth="1"/>
    <col min="13345" max="13345" width="11.7109375" style="6" customWidth="1"/>
    <col min="13346" max="13346" width="11.85546875" style="6" customWidth="1"/>
    <col min="13347" max="13347" width="12.28515625" style="6" customWidth="1"/>
    <col min="13348" max="13348" width="15.140625" style="6" bestFit="1" customWidth="1"/>
    <col min="13349" max="13349" width="11.140625" style="6" customWidth="1"/>
    <col min="13350" max="13350" width="30" style="6" customWidth="1"/>
    <col min="13351" max="13596" width="18.85546875" style="6"/>
    <col min="13597" max="13597" width="3.28515625" style="6" bestFit="1" customWidth="1"/>
    <col min="13598" max="13598" width="5.7109375" style="6" customWidth="1"/>
    <col min="13599" max="13599" width="39.7109375" style="6" customWidth="1"/>
    <col min="13600" max="13600" width="11.140625" style="6" customWidth="1"/>
    <col min="13601" max="13601" width="11.7109375" style="6" customWidth="1"/>
    <col min="13602" max="13602" width="11.85546875" style="6" customWidth="1"/>
    <col min="13603" max="13603" width="12.28515625" style="6" customWidth="1"/>
    <col min="13604" max="13604" width="15.140625" style="6" bestFit="1" customWidth="1"/>
    <col min="13605" max="13605" width="11.140625" style="6" customWidth="1"/>
    <col min="13606" max="13606" width="30" style="6" customWidth="1"/>
    <col min="13607" max="13852" width="18.85546875" style="6"/>
    <col min="13853" max="13853" width="3.28515625" style="6" bestFit="1" customWidth="1"/>
    <col min="13854" max="13854" width="5.7109375" style="6" customWidth="1"/>
    <col min="13855" max="13855" width="39.7109375" style="6" customWidth="1"/>
    <col min="13856" max="13856" width="11.140625" style="6" customWidth="1"/>
    <col min="13857" max="13857" width="11.7109375" style="6" customWidth="1"/>
    <col min="13858" max="13858" width="11.85546875" style="6" customWidth="1"/>
    <col min="13859" max="13859" width="12.28515625" style="6" customWidth="1"/>
    <col min="13860" max="13860" width="15.140625" style="6" bestFit="1" customWidth="1"/>
    <col min="13861" max="13861" width="11.140625" style="6" customWidth="1"/>
    <col min="13862" max="13862" width="30" style="6" customWidth="1"/>
    <col min="13863" max="14108" width="18.85546875" style="6"/>
    <col min="14109" max="14109" width="3.28515625" style="6" bestFit="1" customWidth="1"/>
    <col min="14110" max="14110" width="5.7109375" style="6" customWidth="1"/>
    <col min="14111" max="14111" width="39.7109375" style="6" customWidth="1"/>
    <col min="14112" max="14112" width="11.140625" style="6" customWidth="1"/>
    <col min="14113" max="14113" width="11.7109375" style="6" customWidth="1"/>
    <col min="14114" max="14114" width="11.85546875" style="6" customWidth="1"/>
    <col min="14115" max="14115" width="12.28515625" style="6" customWidth="1"/>
    <col min="14116" max="14116" width="15.140625" style="6" bestFit="1" customWidth="1"/>
    <col min="14117" max="14117" width="11.140625" style="6" customWidth="1"/>
    <col min="14118" max="14118" width="30" style="6" customWidth="1"/>
    <col min="14119" max="14364" width="18.85546875" style="6"/>
    <col min="14365" max="14365" width="3.28515625" style="6" bestFit="1" customWidth="1"/>
    <col min="14366" max="14366" width="5.7109375" style="6" customWidth="1"/>
    <col min="14367" max="14367" width="39.7109375" style="6" customWidth="1"/>
    <col min="14368" max="14368" width="11.140625" style="6" customWidth="1"/>
    <col min="14369" max="14369" width="11.7109375" style="6" customWidth="1"/>
    <col min="14370" max="14370" width="11.85546875" style="6" customWidth="1"/>
    <col min="14371" max="14371" width="12.28515625" style="6" customWidth="1"/>
    <col min="14372" max="14372" width="15.140625" style="6" bestFit="1" customWidth="1"/>
    <col min="14373" max="14373" width="11.140625" style="6" customWidth="1"/>
    <col min="14374" max="14374" width="30" style="6" customWidth="1"/>
    <col min="14375" max="14620" width="18.85546875" style="6"/>
    <col min="14621" max="14621" width="3.28515625" style="6" bestFit="1" customWidth="1"/>
    <col min="14622" max="14622" width="5.7109375" style="6" customWidth="1"/>
    <col min="14623" max="14623" width="39.7109375" style="6" customWidth="1"/>
    <col min="14624" max="14624" width="11.140625" style="6" customWidth="1"/>
    <col min="14625" max="14625" width="11.7109375" style="6" customWidth="1"/>
    <col min="14626" max="14626" width="11.85546875" style="6" customWidth="1"/>
    <col min="14627" max="14627" width="12.28515625" style="6" customWidth="1"/>
    <col min="14628" max="14628" width="15.140625" style="6" bestFit="1" customWidth="1"/>
    <col min="14629" max="14629" width="11.140625" style="6" customWidth="1"/>
    <col min="14630" max="14630" width="30" style="6" customWidth="1"/>
    <col min="14631" max="14876" width="18.85546875" style="6"/>
    <col min="14877" max="14877" width="3.28515625" style="6" bestFit="1" customWidth="1"/>
    <col min="14878" max="14878" width="5.7109375" style="6" customWidth="1"/>
    <col min="14879" max="14879" width="39.7109375" style="6" customWidth="1"/>
    <col min="14880" max="14880" width="11.140625" style="6" customWidth="1"/>
    <col min="14881" max="14881" width="11.7109375" style="6" customWidth="1"/>
    <col min="14882" max="14882" width="11.85546875" style="6" customWidth="1"/>
    <col min="14883" max="14883" width="12.28515625" style="6" customWidth="1"/>
    <col min="14884" max="14884" width="15.140625" style="6" bestFit="1" customWidth="1"/>
    <col min="14885" max="14885" width="11.140625" style="6" customWidth="1"/>
    <col min="14886" max="14886" width="30" style="6" customWidth="1"/>
    <col min="14887" max="15132" width="18.85546875" style="6"/>
    <col min="15133" max="15133" width="3.28515625" style="6" bestFit="1" customWidth="1"/>
    <col min="15134" max="15134" width="5.7109375" style="6" customWidth="1"/>
    <col min="15135" max="15135" width="39.7109375" style="6" customWidth="1"/>
    <col min="15136" max="15136" width="11.140625" style="6" customWidth="1"/>
    <col min="15137" max="15137" width="11.7109375" style="6" customWidth="1"/>
    <col min="15138" max="15138" width="11.85546875" style="6" customWidth="1"/>
    <col min="15139" max="15139" width="12.28515625" style="6" customWidth="1"/>
    <col min="15140" max="15140" width="15.140625" style="6" bestFit="1" customWidth="1"/>
    <col min="15141" max="15141" width="11.140625" style="6" customWidth="1"/>
    <col min="15142" max="15142" width="30" style="6" customWidth="1"/>
    <col min="15143" max="15388" width="18.85546875" style="6"/>
    <col min="15389" max="15389" width="3.28515625" style="6" bestFit="1" customWidth="1"/>
    <col min="15390" max="15390" width="5.7109375" style="6" customWidth="1"/>
    <col min="15391" max="15391" width="39.7109375" style="6" customWidth="1"/>
    <col min="15392" max="15392" width="11.140625" style="6" customWidth="1"/>
    <col min="15393" max="15393" width="11.7109375" style="6" customWidth="1"/>
    <col min="15394" max="15394" width="11.85546875" style="6" customWidth="1"/>
    <col min="15395" max="15395" width="12.28515625" style="6" customWidth="1"/>
    <col min="15396" max="15396" width="15.140625" style="6" bestFit="1" customWidth="1"/>
    <col min="15397" max="15397" width="11.140625" style="6" customWidth="1"/>
    <col min="15398" max="15398" width="30" style="6" customWidth="1"/>
    <col min="15399" max="15644" width="18.85546875" style="6"/>
    <col min="15645" max="15645" width="3.28515625" style="6" bestFit="1" customWidth="1"/>
    <col min="15646" max="15646" width="5.7109375" style="6" customWidth="1"/>
    <col min="15647" max="15647" width="39.7109375" style="6" customWidth="1"/>
    <col min="15648" max="15648" width="11.140625" style="6" customWidth="1"/>
    <col min="15649" max="15649" width="11.7109375" style="6" customWidth="1"/>
    <col min="15650" max="15650" width="11.85546875" style="6" customWidth="1"/>
    <col min="15651" max="15651" width="12.28515625" style="6" customWidth="1"/>
    <col min="15652" max="15652" width="15.140625" style="6" bestFit="1" customWidth="1"/>
    <col min="15653" max="15653" width="11.140625" style="6" customWidth="1"/>
    <col min="15654" max="15654" width="30" style="6" customWidth="1"/>
    <col min="15655" max="15900" width="18.85546875" style="6"/>
    <col min="15901" max="15901" width="3.28515625" style="6" bestFit="1" customWidth="1"/>
    <col min="15902" max="15902" width="5.7109375" style="6" customWidth="1"/>
    <col min="15903" max="15903" width="39.7109375" style="6" customWidth="1"/>
    <col min="15904" max="15904" width="11.140625" style="6" customWidth="1"/>
    <col min="15905" max="15905" width="11.7109375" style="6" customWidth="1"/>
    <col min="15906" max="15906" width="11.85546875" style="6" customWidth="1"/>
    <col min="15907" max="15907" width="12.28515625" style="6" customWidth="1"/>
    <col min="15908" max="15908" width="15.140625" style="6" bestFit="1" customWidth="1"/>
    <col min="15909" max="15909" width="11.140625" style="6" customWidth="1"/>
    <col min="15910" max="15910" width="30" style="6" customWidth="1"/>
    <col min="15911" max="16156" width="18.85546875" style="6"/>
    <col min="16157" max="16157" width="3.28515625" style="6" bestFit="1" customWidth="1"/>
    <col min="16158" max="16158" width="5.7109375" style="6" customWidth="1"/>
    <col min="16159" max="16159" width="39.7109375" style="6" customWidth="1"/>
    <col min="16160" max="16160" width="11.140625" style="6" customWidth="1"/>
    <col min="16161" max="16161" width="11.7109375" style="6" customWidth="1"/>
    <col min="16162" max="16162" width="11.85546875" style="6" customWidth="1"/>
    <col min="16163" max="16163" width="12.28515625" style="6" customWidth="1"/>
    <col min="16164" max="16164" width="15.140625" style="6" bestFit="1" customWidth="1"/>
    <col min="16165" max="16165" width="11.140625" style="6" customWidth="1"/>
    <col min="16166" max="16166" width="30" style="6" customWidth="1"/>
    <col min="16167" max="16384" width="18.85546875" style="6"/>
  </cols>
  <sheetData>
    <row r="2" spans="1:78" ht="18.75" x14ac:dyDescent="0.25">
      <c r="A2" s="86" t="s">
        <v>23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</row>
    <row r="3" spans="1:78" ht="15.75" thickBo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</row>
    <row r="4" spans="1:78" s="1" customFormat="1" ht="13.5" thickBot="1" x14ac:dyDescent="0.3">
      <c r="A4" s="78" t="s">
        <v>0</v>
      </c>
      <c r="B4" s="78" t="s">
        <v>24</v>
      </c>
      <c r="C4" s="78" t="s">
        <v>1</v>
      </c>
      <c r="D4" s="80" t="s">
        <v>25</v>
      </c>
      <c r="E4" s="80" t="s">
        <v>86</v>
      </c>
      <c r="F4" s="72" t="s">
        <v>71</v>
      </c>
      <c r="G4" s="73"/>
      <c r="H4" s="73"/>
      <c r="I4" s="73"/>
      <c r="J4" s="74"/>
      <c r="K4" s="72" t="s">
        <v>72</v>
      </c>
      <c r="L4" s="73"/>
      <c r="M4" s="74"/>
      <c r="N4" s="75" t="s">
        <v>60</v>
      </c>
      <c r="O4" s="76"/>
      <c r="P4" s="77"/>
      <c r="Q4" s="58"/>
      <c r="R4" s="72" t="s">
        <v>138</v>
      </c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48"/>
      <c r="AH4" s="75" t="s">
        <v>92</v>
      </c>
      <c r="AI4" s="76"/>
      <c r="AJ4" s="77"/>
      <c r="AK4" s="83" t="s">
        <v>94</v>
      </c>
      <c r="AL4" s="83" t="s">
        <v>2</v>
      </c>
      <c r="AM4" s="83" t="s">
        <v>134</v>
      </c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</row>
    <row r="5" spans="1:78" s="1" customFormat="1" ht="13.5" thickBot="1" x14ac:dyDescent="0.3">
      <c r="A5" s="79"/>
      <c r="B5" s="79"/>
      <c r="C5" s="79"/>
      <c r="D5" s="81"/>
      <c r="E5" s="81"/>
      <c r="F5" s="83" t="s">
        <v>65</v>
      </c>
      <c r="G5" s="83" t="s">
        <v>67</v>
      </c>
      <c r="H5" s="83" t="s">
        <v>68</v>
      </c>
      <c r="I5" s="83" t="s">
        <v>69</v>
      </c>
      <c r="J5" s="83" t="s">
        <v>88</v>
      </c>
      <c r="K5" s="83" t="s">
        <v>61</v>
      </c>
      <c r="L5" s="83" t="s">
        <v>70</v>
      </c>
      <c r="M5" s="83" t="s">
        <v>63</v>
      </c>
      <c r="N5" s="83" t="s">
        <v>133</v>
      </c>
      <c r="O5" s="83" t="s">
        <v>45</v>
      </c>
      <c r="P5" s="83" t="s">
        <v>59</v>
      </c>
      <c r="Q5" s="83" t="s">
        <v>161</v>
      </c>
      <c r="R5" s="85" t="s">
        <v>190</v>
      </c>
      <c r="S5" s="72" t="s">
        <v>85</v>
      </c>
      <c r="T5" s="73"/>
      <c r="U5" s="73"/>
      <c r="V5" s="73"/>
      <c r="W5" s="73"/>
      <c r="X5" s="73"/>
      <c r="Y5" s="73"/>
      <c r="Z5" s="73"/>
      <c r="AA5" s="73"/>
      <c r="AB5" s="73"/>
      <c r="AC5" s="73"/>
      <c r="AD5" s="74"/>
      <c r="AE5" s="83" t="s">
        <v>87</v>
      </c>
      <c r="AF5" s="83" t="s">
        <v>131</v>
      </c>
      <c r="AG5" s="83" t="s">
        <v>89</v>
      </c>
      <c r="AH5" s="83" t="s">
        <v>91</v>
      </c>
      <c r="AI5" s="83" t="s">
        <v>93</v>
      </c>
      <c r="AJ5" s="83" t="s">
        <v>132</v>
      </c>
      <c r="AK5" s="85"/>
      <c r="AL5" s="85"/>
      <c r="AM5" s="85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</row>
    <row r="6" spans="1:78" s="1" customFormat="1" ht="53.25" customHeight="1" thickBot="1" x14ac:dyDescent="0.3">
      <c r="A6" s="72" t="s">
        <v>95</v>
      </c>
      <c r="B6" s="73"/>
      <c r="C6" s="73"/>
      <c r="D6" s="74"/>
      <c r="E6" s="82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32" t="s">
        <v>73</v>
      </c>
      <c r="T6" s="33" t="s">
        <v>74</v>
      </c>
      <c r="U6" s="34" t="s">
        <v>75</v>
      </c>
      <c r="V6" s="35" t="s">
        <v>76</v>
      </c>
      <c r="W6" s="36" t="s">
        <v>77</v>
      </c>
      <c r="X6" s="37" t="s">
        <v>78</v>
      </c>
      <c r="Y6" s="33" t="s">
        <v>79</v>
      </c>
      <c r="Z6" s="38" t="s">
        <v>80</v>
      </c>
      <c r="AA6" s="39" t="s">
        <v>81</v>
      </c>
      <c r="AB6" s="40" t="s">
        <v>82</v>
      </c>
      <c r="AC6" s="37" t="s">
        <v>83</v>
      </c>
      <c r="AD6" s="41" t="s">
        <v>84</v>
      </c>
      <c r="AE6" s="88"/>
      <c r="AF6" s="84"/>
      <c r="AG6" s="84"/>
      <c r="AH6" s="84"/>
      <c r="AI6" s="84"/>
      <c r="AJ6" s="84"/>
      <c r="AK6" s="84"/>
      <c r="AL6" s="84"/>
      <c r="AM6" s="84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</row>
    <row r="7" spans="1:78" s="15" customFormat="1" ht="15.75" x14ac:dyDescent="0.25">
      <c r="A7" s="30">
        <v>1</v>
      </c>
      <c r="B7" s="31">
        <v>2</v>
      </c>
      <c r="C7" s="30">
        <v>3</v>
      </c>
      <c r="D7" s="31">
        <v>4</v>
      </c>
      <c r="E7" s="30">
        <v>5</v>
      </c>
      <c r="F7" s="31">
        <v>5</v>
      </c>
      <c r="G7" s="30"/>
      <c r="H7" s="31"/>
      <c r="I7" s="30">
        <v>6</v>
      </c>
      <c r="J7" s="31">
        <v>7</v>
      </c>
      <c r="K7" s="30">
        <v>8</v>
      </c>
      <c r="L7" s="31"/>
      <c r="M7" s="30"/>
      <c r="N7" s="31"/>
      <c r="O7" s="30"/>
      <c r="P7" s="31">
        <v>9</v>
      </c>
      <c r="Q7" s="61">
        <v>10</v>
      </c>
      <c r="R7" s="30">
        <v>11</v>
      </c>
      <c r="S7" s="31">
        <v>12</v>
      </c>
      <c r="T7" s="30">
        <v>13</v>
      </c>
      <c r="U7" s="31">
        <v>14</v>
      </c>
      <c r="V7" s="30">
        <v>15</v>
      </c>
      <c r="W7" s="31">
        <v>16</v>
      </c>
      <c r="X7" s="30">
        <v>17</v>
      </c>
      <c r="Y7" s="31">
        <v>18</v>
      </c>
      <c r="Z7" s="30">
        <v>19</v>
      </c>
      <c r="AA7" s="31">
        <v>20</v>
      </c>
      <c r="AB7" s="30">
        <v>21</v>
      </c>
      <c r="AC7" s="31">
        <v>22</v>
      </c>
      <c r="AD7" s="30">
        <v>23</v>
      </c>
      <c r="AE7" s="31">
        <v>24</v>
      </c>
      <c r="AF7" s="30">
        <v>25</v>
      </c>
      <c r="AG7" s="31">
        <v>26</v>
      </c>
      <c r="AH7" s="30">
        <v>27</v>
      </c>
      <c r="AI7" s="31">
        <v>28</v>
      </c>
      <c r="AJ7" s="30"/>
      <c r="AK7" s="31">
        <v>29</v>
      </c>
      <c r="AL7" s="30">
        <v>30</v>
      </c>
      <c r="AM7" s="30">
        <v>19</v>
      </c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</row>
    <row r="8" spans="1:78" s="20" customFormat="1" ht="51" x14ac:dyDescent="0.25">
      <c r="A8" s="92">
        <v>1</v>
      </c>
      <c r="B8" s="89" t="s">
        <v>10</v>
      </c>
      <c r="C8" s="95" t="s">
        <v>188</v>
      </c>
      <c r="D8" s="95" t="s">
        <v>13</v>
      </c>
      <c r="E8" s="98">
        <v>1.32</v>
      </c>
      <c r="F8" s="53" t="s">
        <v>66</v>
      </c>
      <c r="G8" s="18">
        <v>174769205.11000001</v>
      </c>
      <c r="H8" s="18">
        <v>6462424.9400000004</v>
      </c>
      <c r="I8" s="16">
        <f>G8+H8</f>
        <v>181231630.05000001</v>
      </c>
      <c r="J8" s="50">
        <v>45646</v>
      </c>
      <c r="K8" s="43" t="s">
        <v>62</v>
      </c>
      <c r="L8" s="23" t="s">
        <v>119</v>
      </c>
      <c r="M8" s="23" t="s">
        <v>172</v>
      </c>
      <c r="N8" s="19">
        <v>35000</v>
      </c>
      <c r="O8" s="19">
        <v>0</v>
      </c>
      <c r="P8" s="45">
        <v>46100</v>
      </c>
      <c r="Q8" s="16">
        <f>P8*E8/100</f>
        <v>608.52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5801764.7999999998</v>
      </c>
      <c r="Y8" s="18">
        <f>3167815.2+6876169.2+1068106.8</f>
        <v>11112091.200000001</v>
      </c>
      <c r="Z8" s="18">
        <v>0</v>
      </c>
      <c r="AA8" s="18">
        <v>11256087.6</v>
      </c>
      <c r="AB8" s="18">
        <f>3190944+1048636.8</f>
        <v>4239580.8</v>
      </c>
      <c r="AC8" s="18">
        <v>0</v>
      </c>
      <c r="AD8" s="18">
        <f>10241446.8+1997155.2</f>
        <v>12238602</v>
      </c>
      <c r="AE8" s="16">
        <f>S8+T8+U8+V8+W8+X8+Y8+Z8+AA8+AB8+AC8+AD8</f>
        <v>44648126.400000006</v>
      </c>
      <c r="AF8" s="16">
        <f>R8+AE8</f>
        <v>44648126.400000006</v>
      </c>
      <c r="AG8" s="16">
        <f t="shared" ref="AG8:AG25" si="0">I8-AF8</f>
        <v>136583503.65000001</v>
      </c>
      <c r="AH8" s="18">
        <f>AF8/I8*100</f>
        <v>24.635945937076229</v>
      </c>
      <c r="AI8" s="18">
        <f>(AE8+AE9+AE10)/P8/1000*100</f>
        <v>98.721443600867687</v>
      </c>
      <c r="AJ8" s="18">
        <f>T8/I8/1000*100</f>
        <v>0</v>
      </c>
      <c r="AK8" s="56">
        <f>AE8+AE8*E8/100</f>
        <v>45237481.668480009</v>
      </c>
      <c r="AL8" s="26" t="s">
        <v>22</v>
      </c>
      <c r="AM8" s="26" t="s">
        <v>136</v>
      </c>
      <c r="AN8" s="3">
        <f>(Y8+E8*Y8/100)</f>
        <v>11258770.803840002</v>
      </c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8" s="20" customFormat="1" ht="63" x14ac:dyDescent="0.25">
      <c r="A9" s="93"/>
      <c r="B9" s="90"/>
      <c r="C9" s="96"/>
      <c r="D9" s="96"/>
      <c r="E9" s="99"/>
      <c r="F9" s="53" t="s">
        <v>167</v>
      </c>
      <c r="G9" s="18">
        <f>171729.6+402935.4</f>
        <v>574665</v>
      </c>
      <c r="H9" s="18"/>
      <c r="I9" s="16"/>
      <c r="J9" s="50" t="s">
        <v>166</v>
      </c>
      <c r="K9" s="43" t="s">
        <v>165</v>
      </c>
      <c r="L9" s="23"/>
      <c r="M9" s="23"/>
      <c r="N9" s="19"/>
      <c r="O9" s="19"/>
      <c r="P9" s="45"/>
      <c r="Q9" s="16"/>
      <c r="R9" s="18">
        <v>0</v>
      </c>
      <c r="S9" s="18"/>
      <c r="T9" s="18"/>
      <c r="U9" s="18"/>
      <c r="V9" s="18"/>
      <c r="W9" s="18"/>
      <c r="X9" s="18"/>
      <c r="Y9" s="18"/>
      <c r="Z9" s="18"/>
      <c r="AA9" s="18">
        <f>G9</f>
        <v>574665</v>
      </c>
      <c r="AB9" s="18" t="s">
        <v>166</v>
      </c>
      <c r="AC9" s="18"/>
      <c r="AD9" s="18"/>
      <c r="AE9" s="16">
        <f>AA9</f>
        <v>574665</v>
      </c>
      <c r="AF9" s="16"/>
      <c r="AG9" s="16"/>
      <c r="AH9" s="18"/>
      <c r="AI9" s="18"/>
      <c r="AJ9" s="18"/>
      <c r="AK9" s="56">
        <f>AE9</f>
        <v>574665</v>
      </c>
      <c r="AL9" s="26" t="s">
        <v>187</v>
      </c>
      <c r="AM9" s="66" t="s">
        <v>166</v>
      </c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1:78" s="20" customFormat="1" ht="75" x14ac:dyDescent="0.25">
      <c r="A10" s="94"/>
      <c r="B10" s="91"/>
      <c r="C10" s="97"/>
      <c r="D10" s="97"/>
      <c r="E10" s="100"/>
      <c r="F10" s="53" t="s">
        <v>170</v>
      </c>
      <c r="G10" s="18">
        <v>287794.09999999998</v>
      </c>
      <c r="H10" s="18"/>
      <c r="I10" s="16"/>
      <c r="J10" s="50" t="s">
        <v>166</v>
      </c>
      <c r="K10" s="43" t="s">
        <v>171</v>
      </c>
      <c r="L10" s="23"/>
      <c r="M10" s="23"/>
      <c r="N10" s="19"/>
      <c r="O10" s="19"/>
      <c r="P10" s="45"/>
      <c r="Q10" s="16"/>
      <c r="R10" s="18">
        <v>0</v>
      </c>
      <c r="S10" s="18"/>
      <c r="T10" s="18"/>
      <c r="U10" s="18"/>
      <c r="V10" s="18"/>
      <c r="W10" s="18"/>
      <c r="X10" s="18"/>
      <c r="Y10" s="18"/>
      <c r="Z10" s="18"/>
      <c r="AA10" s="18"/>
      <c r="AB10" s="18">
        <v>287794.09999999998</v>
      </c>
      <c r="AC10" s="18"/>
      <c r="AD10" s="18"/>
      <c r="AE10" s="16">
        <f>AB10</f>
        <v>287794.09999999998</v>
      </c>
      <c r="AF10" s="16"/>
      <c r="AG10" s="16"/>
      <c r="AH10" s="18"/>
      <c r="AI10" s="18"/>
      <c r="AJ10" s="18"/>
      <c r="AK10" s="56">
        <f>AE10</f>
        <v>287794.09999999998</v>
      </c>
      <c r="AL10" s="26" t="s">
        <v>186</v>
      </c>
      <c r="AM10" s="66" t="s">
        <v>166</v>
      </c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</row>
    <row r="11" spans="1:78" s="3" customFormat="1" ht="30" x14ac:dyDescent="0.25">
      <c r="A11" s="64">
        <v>2</v>
      </c>
      <c r="B11" s="13" t="s">
        <v>10</v>
      </c>
      <c r="C11" s="8" t="s">
        <v>189</v>
      </c>
      <c r="D11" s="7" t="s">
        <v>152</v>
      </c>
      <c r="E11" s="59">
        <v>2.14</v>
      </c>
      <c r="F11" s="54"/>
      <c r="G11" s="10"/>
      <c r="H11" s="10"/>
      <c r="I11" s="11"/>
      <c r="J11" s="49"/>
      <c r="K11" s="44"/>
      <c r="L11" s="24"/>
      <c r="M11" s="24"/>
      <c r="N11" s="12">
        <v>35000</v>
      </c>
      <c r="O11" s="12">
        <v>0</v>
      </c>
      <c r="P11" s="14">
        <v>0</v>
      </c>
      <c r="Q11" s="102">
        <f t="shared" ref="Q11:Q35" si="1">P11*E11/100</f>
        <v>0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1"/>
      <c r="AF11" s="11"/>
      <c r="AG11" s="11"/>
      <c r="AH11" s="10"/>
      <c r="AI11" s="10"/>
      <c r="AJ11" s="10"/>
      <c r="AK11" s="55"/>
      <c r="AL11" s="27" t="s">
        <v>153</v>
      </c>
      <c r="AM11" s="27"/>
      <c r="AN11" s="3">
        <f t="shared" ref="AN11:AN35" si="2">(Y11+E11*Y11/100)</f>
        <v>0</v>
      </c>
    </row>
    <row r="12" spans="1:78" s="20" customFormat="1" ht="51" x14ac:dyDescent="0.25">
      <c r="A12" s="25">
        <v>3</v>
      </c>
      <c r="B12" s="21" t="s">
        <v>43</v>
      </c>
      <c r="C12" s="22" t="s">
        <v>44</v>
      </c>
      <c r="D12" s="17">
        <v>108.97</v>
      </c>
      <c r="E12" s="60">
        <v>2.3199999999999998</v>
      </c>
      <c r="F12" s="45" t="s">
        <v>90</v>
      </c>
      <c r="G12" s="18">
        <v>16372569.33</v>
      </c>
      <c r="H12" s="18">
        <f>1381317.53+1508229.6+37392+2033804.4</f>
        <v>4960743.5299999993</v>
      </c>
      <c r="I12" s="16">
        <f>G12+H12</f>
        <v>21333312.859999999</v>
      </c>
      <c r="J12" s="50">
        <v>45016</v>
      </c>
      <c r="K12" s="43" t="s">
        <v>64</v>
      </c>
      <c r="L12" s="23" t="s">
        <v>106</v>
      </c>
      <c r="M12" s="23" t="s">
        <v>101</v>
      </c>
      <c r="N12" s="19">
        <v>7000</v>
      </c>
      <c r="O12" s="19">
        <v>4500</v>
      </c>
      <c r="P12" s="45">
        <v>11727</v>
      </c>
      <c r="Q12" s="16">
        <f t="shared" si="1"/>
        <v>272.06639999999999</v>
      </c>
      <c r="R12" s="18">
        <v>9872736</v>
      </c>
      <c r="S12" s="18">
        <v>3793153.2</v>
      </c>
      <c r="T12" s="18">
        <v>0</v>
      </c>
      <c r="U12" s="18">
        <f>1508229.6+293012.4+601988.4</f>
        <v>2403230.4</v>
      </c>
      <c r="V12" s="18">
        <v>0</v>
      </c>
      <c r="W12" s="18">
        <v>0</v>
      </c>
      <c r="X12" s="18">
        <v>779329.2</v>
      </c>
      <c r="Y12" s="18">
        <v>2033804.4</v>
      </c>
      <c r="Z12" s="18">
        <f>2413668+37392</f>
        <v>2451060</v>
      </c>
      <c r="AA12" s="18">
        <v>0</v>
      </c>
      <c r="AB12" s="18">
        <v>0</v>
      </c>
      <c r="AC12" s="18">
        <v>0</v>
      </c>
      <c r="AD12" s="18">
        <v>0</v>
      </c>
      <c r="AE12" s="16">
        <f>S12+T12+U12+V12+W12+X12+Y12+Z12+AA12+AB12+AC12+AD12</f>
        <v>11460577.199999999</v>
      </c>
      <c r="AF12" s="16">
        <f>R12+AE12</f>
        <v>21333313.199999999</v>
      </c>
      <c r="AG12" s="16">
        <f>I12-AF12</f>
        <v>-0.33999999985098839</v>
      </c>
      <c r="AH12" s="18">
        <f>AF12/I12*100</f>
        <v>100.00000159375153</v>
      </c>
      <c r="AI12" s="18">
        <f>AK12/P12/1000*100</f>
        <v>99.995417336403165</v>
      </c>
      <c r="AJ12" s="18">
        <f>T12/I12/1000*100</f>
        <v>0</v>
      </c>
      <c r="AK12" s="56">
        <f>AE12+AE12*E12/100</f>
        <v>11726462.591039998</v>
      </c>
      <c r="AL12" s="28" t="s">
        <v>12</v>
      </c>
      <c r="AM12" s="26" t="s">
        <v>135</v>
      </c>
      <c r="AN12" s="3">
        <f t="shared" si="2"/>
        <v>2080988.6620799999</v>
      </c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</row>
    <row r="13" spans="1:78" s="3" customFormat="1" ht="51" x14ac:dyDescent="0.25">
      <c r="A13" s="25">
        <v>4</v>
      </c>
      <c r="B13" s="21" t="s">
        <v>154</v>
      </c>
      <c r="C13" s="115" t="s">
        <v>155</v>
      </c>
      <c r="D13" s="17">
        <v>41.96</v>
      </c>
      <c r="E13" s="60">
        <v>1.41</v>
      </c>
      <c r="F13" s="53" t="s">
        <v>168</v>
      </c>
      <c r="G13" s="18">
        <v>53999773.469999999</v>
      </c>
      <c r="H13" s="18"/>
      <c r="I13" s="16">
        <f>G13+H13</f>
        <v>53999773.469999999</v>
      </c>
      <c r="J13" s="116">
        <v>45657</v>
      </c>
      <c r="K13" s="45" t="s">
        <v>164</v>
      </c>
      <c r="L13" s="23" t="s">
        <v>112</v>
      </c>
      <c r="M13" s="23"/>
      <c r="N13" s="19"/>
      <c r="O13" s="19"/>
      <c r="P13" s="45">
        <v>4565</v>
      </c>
      <c r="Q13" s="16">
        <f>P13*E13/100</f>
        <v>64.366500000000002</v>
      </c>
      <c r="R13" s="18">
        <v>0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>
        <v>0</v>
      </c>
      <c r="AD13" s="18">
        <v>4493515.2</v>
      </c>
      <c r="AE13" s="16">
        <f>AD13</f>
        <v>4493515.2</v>
      </c>
      <c r="AF13" s="16"/>
      <c r="AG13" s="16"/>
      <c r="AH13" s="18">
        <f>AE13/I13</f>
        <v>8.3213593525469295E-2</v>
      </c>
      <c r="AI13" s="18">
        <f>AE13/P13/1000*100</f>
        <v>98.434067907995612</v>
      </c>
      <c r="AJ13" s="18"/>
      <c r="AK13" s="56">
        <f>AE13+AE13*E13/100</f>
        <v>4556873.7643200001</v>
      </c>
      <c r="AL13" s="26" t="s">
        <v>12</v>
      </c>
      <c r="AM13" s="65" t="s">
        <v>135</v>
      </c>
      <c r="AN13" s="3">
        <f t="shared" si="2"/>
        <v>0</v>
      </c>
    </row>
    <row r="14" spans="1:78" s="20" customFormat="1" ht="51" x14ac:dyDescent="0.25">
      <c r="A14" s="25">
        <v>5</v>
      </c>
      <c r="B14" s="21" t="s">
        <v>3</v>
      </c>
      <c r="C14" s="22" t="s">
        <v>26</v>
      </c>
      <c r="D14" s="17">
        <v>133.71</v>
      </c>
      <c r="E14" s="60">
        <v>1.41</v>
      </c>
      <c r="F14" s="45" t="s">
        <v>107</v>
      </c>
      <c r="G14" s="18">
        <v>105815479.23999999</v>
      </c>
      <c r="H14" s="18">
        <f>3872839.28+1826628+1664637.96+6659415.6+459918.87-108472.44+8816431.2</f>
        <v>23191398.469999999</v>
      </c>
      <c r="I14" s="16">
        <f>G14+H14</f>
        <v>129006877.70999999</v>
      </c>
      <c r="J14" s="50">
        <v>45291</v>
      </c>
      <c r="K14" s="43" t="s">
        <v>108</v>
      </c>
      <c r="L14" s="23" t="s">
        <v>109</v>
      </c>
      <c r="M14" s="23" t="s">
        <v>173</v>
      </c>
      <c r="N14" s="19">
        <v>32000</v>
      </c>
      <c r="O14" s="19">
        <v>12000</v>
      </c>
      <c r="P14" s="45">
        <v>49864</v>
      </c>
      <c r="Q14" s="16">
        <f t="shared" si="1"/>
        <v>703.08239999999989</v>
      </c>
      <c r="R14" s="18">
        <v>78619970.840000004</v>
      </c>
      <c r="S14" s="18">
        <v>775274.4</v>
      </c>
      <c r="T14" s="18">
        <v>1703379.6</v>
      </c>
      <c r="U14" s="18">
        <f>1826628+940201.2+1097427.6</f>
        <v>3864256.8000000003</v>
      </c>
      <c r="V14" s="18">
        <f>1512037.2+1063150.8</f>
        <v>2575188</v>
      </c>
      <c r="W14" s="18">
        <f>1099972.8+4398976.8</f>
        <v>5498949.5999999996</v>
      </c>
      <c r="X14" s="18">
        <v>1004089.2</v>
      </c>
      <c r="Y14" s="18">
        <v>663288</v>
      </c>
      <c r="Z14" s="18">
        <v>838006.8</v>
      </c>
      <c r="AA14" s="18">
        <f>6659415.6+697579.2</f>
        <v>7356994.7999999998</v>
      </c>
      <c r="AB14" s="18">
        <v>7759712.4000000004</v>
      </c>
      <c r="AC14" s="18">
        <f>1580689.2+2677843.2+5272803.6</f>
        <v>9531336</v>
      </c>
      <c r="AD14" s="18">
        <v>7600216.7999999998</v>
      </c>
      <c r="AE14" s="16">
        <f>S14+T14+U14+V14+W14+X14+Y14+Z14+AA14+AB14+AC14+AD14</f>
        <v>49170692.399999999</v>
      </c>
      <c r="AF14" s="16">
        <f t="shared" ref="AF14:AF35" si="3">R14+AE14</f>
        <v>127790663.24000001</v>
      </c>
      <c r="AG14" s="16">
        <f t="shared" ref="AG14:AG15" si="4">I14-AF14</f>
        <v>1216214.4699999839</v>
      </c>
      <c r="AH14" s="18">
        <f>AF14/I14*100</f>
        <v>99.057248348623745</v>
      </c>
      <c r="AI14" s="18">
        <f>AK14/P14/1000*100</f>
        <v>99.999998321113438</v>
      </c>
      <c r="AJ14" s="18">
        <f>T14/I14/1000*100</f>
        <v>1.3203789055565697E-3</v>
      </c>
      <c r="AK14" s="56">
        <f>AE14+AE14*E14/100</f>
        <v>49863999.162840001</v>
      </c>
      <c r="AL14" s="28" t="s">
        <v>27</v>
      </c>
      <c r="AM14" s="26" t="s">
        <v>135</v>
      </c>
      <c r="AN14" s="3">
        <f t="shared" si="2"/>
        <v>672640.36080000002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  <row r="15" spans="1:78" s="3" customFormat="1" ht="30" x14ac:dyDescent="0.25">
      <c r="A15" s="64">
        <v>6</v>
      </c>
      <c r="B15" s="13" t="s">
        <v>3</v>
      </c>
      <c r="C15" s="8" t="s">
        <v>26</v>
      </c>
      <c r="D15" s="7" t="s">
        <v>177</v>
      </c>
      <c r="E15" s="59"/>
      <c r="F15" s="54"/>
      <c r="G15" s="10"/>
      <c r="H15" s="10"/>
      <c r="I15" s="11">
        <f>G15+H15</f>
        <v>0</v>
      </c>
      <c r="J15" s="49"/>
      <c r="K15" s="62"/>
      <c r="L15" s="63"/>
      <c r="M15" s="24"/>
      <c r="N15" s="12"/>
      <c r="O15" s="12"/>
      <c r="P15" s="14">
        <v>50</v>
      </c>
      <c r="Q15" s="102">
        <f t="shared" si="1"/>
        <v>0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1">
        <f>S15+T15+U15+V15+W15+X15+Y15+Z15+AA15+AB15+AC15+AD15</f>
        <v>0</v>
      </c>
      <c r="AF15" s="11">
        <f t="shared" si="3"/>
        <v>0</v>
      </c>
      <c r="AG15" s="11">
        <f t="shared" si="4"/>
        <v>0</v>
      </c>
      <c r="AH15" s="10">
        <v>0</v>
      </c>
      <c r="AI15" s="10">
        <f>AK15/P15/1000*100</f>
        <v>0</v>
      </c>
      <c r="AJ15" s="10" t="e">
        <f>T15/I15/1000*100</f>
        <v>#DIV/0!</v>
      </c>
      <c r="AK15" s="55">
        <f>AE15+AE15*E15/100</f>
        <v>0</v>
      </c>
      <c r="AL15" s="27" t="s">
        <v>178</v>
      </c>
      <c r="AM15" s="65"/>
      <c r="AN15" s="3">
        <f t="shared" si="2"/>
        <v>0</v>
      </c>
    </row>
    <row r="16" spans="1:78" s="20" customFormat="1" ht="51" x14ac:dyDescent="0.25">
      <c r="A16" s="25">
        <v>7</v>
      </c>
      <c r="B16" s="21" t="s">
        <v>3</v>
      </c>
      <c r="C16" s="22" t="s">
        <v>4</v>
      </c>
      <c r="D16" s="17">
        <v>264</v>
      </c>
      <c r="E16" s="60">
        <f>'[1]ianuarie 2023'!$G$60</f>
        <v>2.14</v>
      </c>
      <c r="F16" s="45" t="s">
        <v>96</v>
      </c>
      <c r="G16" s="18">
        <v>37784754.149999999</v>
      </c>
      <c r="H16" s="18">
        <f>2215839.54+1447663.76</f>
        <v>3663503.3</v>
      </c>
      <c r="I16" s="16">
        <f>G16+H16</f>
        <v>41448257.449999996</v>
      </c>
      <c r="J16" s="50">
        <v>45382</v>
      </c>
      <c r="K16" s="43" t="str">
        <f>'[1]ianuarie 2023'!$D$60</f>
        <v>SRL „Irinda Prim”</v>
      </c>
      <c r="L16" s="23" t="s">
        <v>97</v>
      </c>
      <c r="M16" s="23" t="s">
        <v>169</v>
      </c>
      <c r="N16" s="19">
        <v>20000</v>
      </c>
      <c r="O16" s="19">
        <v>0</v>
      </c>
      <c r="P16" s="45">
        <v>29415</v>
      </c>
      <c r="Q16" s="16">
        <f t="shared" si="1"/>
        <v>629.48100000000011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6604508.4000000004</v>
      </c>
      <c r="Z16" s="18">
        <v>2458382.4</v>
      </c>
      <c r="AA16" s="18">
        <v>0</v>
      </c>
      <c r="AB16" s="18">
        <v>6004161.5999999996</v>
      </c>
      <c r="AC16" s="18">
        <v>0</v>
      </c>
      <c r="AD16" s="18">
        <f>13600983.6+130670.4</f>
        <v>13731654</v>
      </c>
      <c r="AE16" s="16">
        <f t="shared" ref="AE16:AE24" si="5">S16+T16+U16+V16+W16+X16+Y16+Z16+AA16+AB16+AC16+AD16</f>
        <v>28798706.399999999</v>
      </c>
      <c r="AF16" s="16">
        <f t="shared" si="3"/>
        <v>28798706.399999999</v>
      </c>
      <c r="AG16" s="16">
        <f t="shared" si="0"/>
        <v>12649551.049999997</v>
      </c>
      <c r="AH16" s="18">
        <f t="shared" ref="AH16" si="6">AF16/I16*100</f>
        <v>69.481102878065627</v>
      </c>
      <c r="AI16" s="18">
        <f t="shared" ref="AI16:AI35" si="7">AK16/P16/1000*100</f>
        <v>99.999995638143801</v>
      </c>
      <c r="AJ16" s="18">
        <f t="shared" ref="AJ16:AJ31" si="8">T16/I16/1000*100</f>
        <v>0</v>
      </c>
      <c r="AK16" s="56">
        <f t="shared" ref="AK16:AK31" si="9">AE16+AE16*E16/100</f>
        <v>29414998.716959998</v>
      </c>
      <c r="AL16" s="28" t="s">
        <v>12</v>
      </c>
      <c r="AM16" s="26" t="s">
        <v>136</v>
      </c>
      <c r="AN16" s="3">
        <f t="shared" si="2"/>
        <v>6745844.8797600009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</row>
    <row r="17" spans="1:78" s="3" customFormat="1" ht="15.75" x14ac:dyDescent="0.25">
      <c r="A17" s="64">
        <v>8</v>
      </c>
      <c r="B17" s="13" t="s">
        <v>5</v>
      </c>
      <c r="C17" s="8" t="s">
        <v>18</v>
      </c>
      <c r="D17" s="7" t="s">
        <v>19</v>
      </c>
      <c r="E17" s="59">
        <v>2.14</v>
      </c>
      <c r="F17" s="54"/>
      <c r="G17" s="10"/>
      <c r="H17" s="10"/>
      <c r="I17" s="11"/>
      <c r="J17" s="49"/>
      <c r="K17" s="62"/>
      <c r="L17" s="63"/>
      <c r="M17" s="24"/>
      <c r="N17" s="12">
        <v>10000</v>
      </c>
      <c r="O17" s="12">
        <v>0</v>
      </c>
      <c r="P17" s="14">
        <v>50</v>
      </c>
      <c r="Q17" s="102">
        <f t="shared" si="1"/>
        <v>1.07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/>
      <c r="AB17" s="10"/>
      <c r="AC17" s="10"/>
      <c r="AD17" s="10"/>
      <c r="AE17" s="11">
        <f t="shared" si="5"/>
        <v>0</v>
      </c>
      <c r="AF17" s="11">
        <f t="shared" si="3"/>
        <v>0</v>
      </c>
      <c r="AG17" s="11">
        <f t="shared" si="0"/>
        <v>0</v>
      </c>
      <c r="AH17" s="10"/>
      <c r="AI17" s="10">
        <f t="shared" si="7"/>
        <v>0</v>
      </c>
      <c r="AJ17" s="10"/>
      <c r="AK17" s="55">
        <f t="shared" si="9"/>
        <v>0</v>
      </c>
      <c r="AL17" s="27" t="s">
        <v>20</v>
      </c>
      <c r="AM17" s="65"/>
      <c r="AN17" s="3">
        <f t="shared" si="2"/>
        <v>0</v>
      </c>
    </row>
    <row r="18" spans="1:78" s="20" customFormat="1" ht="15.75" x14ac:dyDescent="0.25">
      <c r="A18" s="103">
        <v>9</v>
      </c>
      <c r="B18" s="104" t="s">
        <v>14</v>
      </c>
      <c r="C18" s="105" t="s">
        <v>159</v>
      </c>
      <c r="D18" s="106">
        <v>59.96</v>
      </c>
      <c r="E18" s="107">
        <v>2.3199999999999998</v>
      </c>
      <c r="F18" s="108"/>
      <c r="G18" s="109"/>
      <c r="H18" s="109"/>
      <c r="I18" s="102"/>
      <c r="J18" s="110"/>
      <c r="K18" s="111"/>
      <c r="L18" s="112"/>
      <c r="M18" s="112"/>
      <c r="N18" s="113">
        <v>7500</v>
      </c>
      <c r="O18" s="113">
        <v>0</v>
      </c>
      <c r="P18" s="108">
        <v>50</v>
      </c>
      <c r="Q18" s="102">
        <f t="shared" si="1"/>
        <v>1.1599999999999999</v>
      </c>
      <c r="R18" s="109">
        <v>0</v>
      </c>
      <c r="S18" s="109">
        <v>0</v>
      </c>
      <c r="T18" s="109">
        <v>0</v>
      </c>
      <c r="U18" s="109">
        <v>0</v>
      </c>
      <c r="V18" s="109">
        <v>0</v>
      </c>
      <c r="W18" s="109">
        <v>0</v>
      </c>
      <c r="X18" s="109">
        <v>0</v>
      </c>
      <c r="Y18" s="109">
        <v>0</v>
      </c>
      <c r="Z18" s="109">
        <v>0</v>
      </c>
      <c r="AA18" s="109"/>
      <c r="AB18" s="109"/>
      <c r="AC18" s="109"/>
      <c r="AD18" s="109"/>
      <c r="AE18" s="102">
        <f t="shared" si="5"/>
        <v>0</v>
      </c>
      <c r="AF18" s="102">
        <f t="shared" si="3"/>
        <v>0</v>
      </c>
      <c r="AG18" s="102">
        <f t="shared" si="0"/>
        <v>0</v>
      </c>
      <c r="AH18" s="109"/>
      <c r="AI18" s="109">
        <f t="shared" si="7"/>
        <v>0</v>
      </c>
      <c r="AJ18" s="109"/>
      <c r="AK18" s="101">
        <f t="shared" si="9"/>
        <v>0</v>
      </c>
      <c r="AL18" s="114" t="s">
        <v>12</v>
      </c>
      <c r="AM18" s="26"/>
      <c r="AN18" s="3">
        <f t="shared" si="2"/>
        <v>0</v>
      </c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1:78" s="3" customFormat="1" ht="51" x14ac:dyDescent="0.25">
      <c r="A19" s="25">
        <v>10</v>
      </c>
      <c r="B19" s="21" t="s">
        <v>46</v>
      </c>
      <c r="C19" s="115" t="s">
        <v>47</v>
      </c>
      <c r="D19" s="17" t="s">
        <v>48</v>
      </c>
      <c r="E19" s="60">
        <v>1.18</v>
      </c>
      <c r="F19" s="53" t="s">
        <v>102</v>
      </c>
      <c r="G19" s="18">
        <v>19198946.449999999</v>
      </c>
      <c r="H19" s="18">
        <f>1820478.87+2792574</f>
        <v>4613052.87</v>
      </c>
      <c r="I19" s="16">
        <f>G19+H19</f>
        <v>23811999.32</v>
      </c>
      <c r="J19" s="116">
        <v>44925</v>
      </c>
      <c r="K19" s="45" t="s">
        <v>103</v>
      </c>
      <c r="L19" s="23" t="s">
        <v>105</v>
      </c>
      <c r="M19" s="23" t="s">
        <v>104</v>
      </c>
      <c r="N19" s="19">
        <v>0</v>
      </c>
      <c r="O19" s="19">
        <v>4500</v>
      </c>
      <c r="P19" s="45">
        <v>2830</v>
      </c>
      <c r="Q19" s="16">
        <f t="shared" si="1"/>
        <v>33.393999999999998</v>
      </c>
      <c r="R19" s="18">
        <v>21019561.920000002</v>
      </c>
      <c r="S19" s="18">
        <v>0</v>
      </c>
      <c r="T19" s="18">
        <v>2792574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/>
      <c r="AE19" s="16">
        <f t="shared" si="5"/>
        <v>2792574</v>
      </c>
      <c r="AF19" s="16">
        <f t="shared" si="3"/>
        <v>23812135.920000002</v>
      </c>
      <c r="AG19" s="16">
        <f>I19-AF19</f>
        <v>-136.60000000149012</v>
      </c>
      <c r="AH19" s="18">
        <f>AF19/I19*100</f>
        <v>100.00057366035571</v>
      </c>
      <c r="AI19" s="18">
        <f t="shared" si="7"/>
        <v>99.841921314487621</v>
      </c>
      <c r="AJ19" s="18">
        <f>T19/I19/1000*100</f>
        <v>1.1727591465427607E-2</v>
      </c>
      <c r="AK19" s="56">
        <f>AE19+AE19*E19/100</f>
        <v>2825526.3731999998</v>
      </c>
      <c r="AL19" s="26" t="s">
        <v>21</v>
      </c>
      <c r="AM19" s="65" t="s">
        <v>135</v>
      </c>
      <c r="AN19" s="3">
        <f t="shared" si="2"/>
        <v>0</v>
      </c>
    </row>
    <row r="20" spans="1:78" s="20" customFormat="1" ht="51" x14ac:dyDescent="0.25">
      <c r="A20" s="25">
        <v>11</v>
      </c>
      <c r="B20" s="21" t="s">
        <v>16</v>
      </c>
      <c r="C20" s="22" t="s">
        <v>15</v>
      </c>
      <c r="D20" s="17">
        <v>62.375999999999998</v>
      </c>
      <c r="E20" s="60">
        <v>2.3199999999999998</v>
      </c>
      <c r="F20" s="45" t="s">
        <v>145</v>
      </c>
      <c r="G20" s="18">
        <v>12932164.460000001</v>
      </c>
      <c r="H20" s="18">
        <f>651371.11-41773.08</f>
        <v>609598.03</v>
      </c>
      <c r="I20" s="16">
        <f>G20+H20</f>
        <v>13541762.49</v>
      </c>
      <c r="J20" s="50">
        <v>45291</v>
      </c>
      <c r="K20" s="43" t="s">
        <v>146</v>
      </c>
      <c r="L20" s="23" t="s">
        <v>147</v>
      </c>
      <c r="M20" s="23" t="s">
        <v>148</v>
      </c>
      <c r="N20" s="19">
        <v>7500</v>
      </c>
      <c r="O20" s="19">
        <v>0</v>
      </c>
      <c r="P20" s="45">
        <v>13900</v>
      </c>
      <c r="Q20" s="16">
        <f t="shared" si="1"/>
        <v>322.47999999999996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f>1754853.6+499562.4</f>
        <v>2254416</v>
      </c>
      <c r="AA20" s="18">
        <v>2267115.6</v>
      </c>
      <c r="AB20" s="18">
        <v>4216800</v>
      </c>
      <c r="AC20" s="18">
        <v>0</v>
      </c>
      <c r="AD20" s="18">
        <v>4803432</v>
      </c>
      <c r="AE20" s="16">
        <f t="shared" si="5"/>
        <v>13541763.6</v>
      </c>
      <c r="AF20" s="16">
        <f t="shared" si="3"/>
        <v>13541763.6</v>
      </c>
      <c r="AG20" s="16">
        <f t="shared" si="0"/>
        <v>-1.1099999994039536</v>
      </c>
      <c r="AH20" s="18">
        <f>AF20/I20*100</f>
        <v>100.00000819686508</v>
      </c>
      <c r="AI20" s="18">
        <f t="shared" si="7"/>
        <v>99.682967737553952</v>
      </c>
      <c r="AJ20" s="18"/>
      <c r="AK20" s="56">
        <f t="shared" si="9"/>
        <v>13855932.515519999</v>
      </c>
      <c r="AL20" s="28" t="s">
        <v>12</v>
      </c>
      <c r="AM20" s="26"/>
      <c r="AN20" s="3">
        <f t="shared" si="2"/>
        <v>0</v>
      </c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</row>
    <row r="21" spans="1:78" s="3" customFormat="1" ht="51" x14ac:dyDescent="0.25">
      <c r="A21" s="25">
        <v>12</v>
      </c>
      <c r="B21" s="21" t="s">
        <v>58</v>
      </c>
      <c r="C21" s="115" t="s">
        <v>123</v>
      </c>
      <c r="D21" s="17" t="s">
        <v>162</v>
      </c>
      <c r="E21" s="60">
        <v>2.14</v>
      </c>
      <c r="F21" s="53" t="s">
        <v>163</v>
      </c>
      <c r="G21" s="18">
        <v>29269308.52</v>
      </c>
      <c r="H21" s="18"/>
      <c r="I21" s="16">
        <f>G21+H21</f>
        <v>29269308.52</v>
      </c>
      <c r="J21" s="116">
        <v>45535</v>
      </c>
      <c r="K21" s="45" t="s">
        <v>164</v>
      </c>
      <c r="L21" s="23" t="s">
        <v>112</v>
      </c>
      <c r="M21" s="23" t="s">
        <v>148</v>
      </c>
      <c r="N21" s="19">
        <v>10000</v>
      </c>
      <c r="O21" s="19">
        <v>0</v>
      </c>
      <c r="P21" s="45">
        <v>11600</v>
      </c>
      <c r="Q21" s="16">
        <f t="shared" si="1"/>
        <v>248.24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/>
      <c r="AB21" s="18">
        <v>0</v>
      </c>
      <c r="AC21" s="18">
        <v>6851932.7999999998</v>
      </c>
      <c r="AD21" s="18">
        <f>4268900.4+236127.6</f>
        <v>4505028</v>
      </c>
      <c r="AE21" s="16">
        <f t="shared" si="5"/>
        <v>11356960.800000001</v>
      </c>
      <c r="AF21" s="16">
        <f t="shared" si="3"/>
        <v>11356960.800000001</v>
      </c>
      <c r="AG21" s="16">
        <f t="shared" si="0"/>
        <v>17912347.719999999</v>
      </c>
      <c r="AH21" s="18">
        <f>AF21/I21*100</f>
        <v>38.801602683027788</v>
      </c>
      <c r="AI21" s="18">
        <f t="shared" si="7"/>
        <v>99.999997940689667</v>
      </c>
      <c r="AJ21" s="18"/>
      <c r="AK21" s="56">
        <f t="shared" si="9"/>
        <v>11599999.761120001</v>
      </c>
      <c r="AL21" s="26" t="s">
        <v>21</v>
      </c>
      <c r="AM21" s="26"/>
      <c r="AN21" s="3">
        <f t="shared" si="2"/>
        <v>0</v>
      </c>
    </row>
    <row r="22" spans="1:78" s="20" customFormat="1" ht="51" x14ac:dyDescent="0.25">
      <c r="A22" s="25">
        <v>13</v>
      </c>
      <c r="B22" s="21" t="s">
        <v>11</v>
      </c>
      <c r="C22" s="22" t="s">
        <v>53</v>
      </c>
      <c r="D22" s="17" t="s">
        <v>54</v>
      </c>
      <c r="E22" s="60">
        <v>1.43</v>
      </c>
      <c r="F22" s="45" t="s">
        <v>149</v>
      </c>
      <c r="G22" s="18">
        <v>75067435.969999999</v>
      </c>
      <c r="H22" s="18">
        <v>1139106.71</v>
      </c>
      <c r="I22" s="16">
        <f>G22+H22</f>
        <v>76206542.679999992</v>
      </c>
      <c r="J22" s="50">
        <v>45504</v>
      </c>
      <c r="K22" s="43" t="s">
        <v>150</v>
      </c>
      <c r="L22" s="23" t="s">
        <v>151</v>
      </c>
      <c r="M22" s="23" t="s">
        <v>121</v>
      </c>
      <c r="N22" s="19">
        <v>10000</v>
      </c>
      <c r="O22" s="19">
        <v>0</v>
      </c>
      <c r="P22" s="45">
        <v>10000</v>
      </c>
      <c r="Q22" s="16">
        <f t="shared" si="1"/>
        <v>143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1600162.8</v>
      </c>
      <c r="Y22" s="18">
        <v>1637451.6</v>
      </c>
      <c r="Z22" s="18">
        <v>0</v>
      </c>
      <c r="AA22" s="18">
        <v>2642415.6</v>
      </c>
      <c r="AB22" s="18">
        <v>0</v>
      </c>
      <c r="AC22" s="18">
        <v>0</v>
      </c>
      <c r="AD22" s="18">
        <v>3978500.4</v>
      </c>
      <c r="AE22" s="16">
        <f t="shared" si="5"/>
        <v>9858530.4000000004</v>
      </c>
      <c r="AF22" s="16">
        <f t="shared" si="3"/>
        <v>9858530.4000000004</v>
      </c>
      <c r="AG22" s="16">
        <f t="shared" si="0"/>
        <v>66348012.279999994</v>
      </c>
      <c r="AH22" s="18">
        <f>AF22/I22*100</f>
        <v>12.936593175991593</v>
      </c>
      <c r="AI22" s="18">
        <f t="shared" si="7"/>
        <v>99.99507384719999</v>
      </c>
      <c r="AJ22" s="18"/>
      <c r="AK22" s="56">
        <f t="shared" si="9"/>
        <v>9999507.3847199995</v>
      </c>
      <c r="AL22" s="28" t="s">
        <v>55</v>
      </c>
      <c r="AM22" s="26" t="s">
        <v>136</v>
      </c>
      <c r="AN22" s="3">
        <f t="shared" si="2"/>
        <v>1660867.1578800001</v>
      </c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</row>
    <row r="23" spans="1:78" s="3" customFormat="1" ht="63.75" x14ac:dyDescent="0.25">
      <c r="A23" s="25">
        <v>14</v>
      </c>
      <c r="B23" s="21" t="s">
        <v>11</v>
      </c>
      <c r="C23" s="115" t="s">
        <v>125</v>
      </c>
      <c r="D23" s="17" t="s">
        <v>28</v>
      </c>
      <c r="E23" s="60">
        <v>1.43</v>
      </c>
      <c r="F23" s="53" t="s">
        <v>122</v>
      </c>
      <c r="G23" s="18">
        <v>46101881.520000003</v>
      </c>
      <c r="H23" s="18">
        <f>83980.6+251953.56+712049.26+4209401.01+1441352.4+5901211.2+940097.14+53598.46</f>
        <v>13593643.630000003</v>
      </c>
      <c r="I23" s="16">
        <f>G23+H23</f>
        <v>59695525.150000006</v>
      </c>
      <c r="J23" s="116">
        <v>45443</v>
      </c>
      <c r="K23" s="45" t="s">
        <v>124</v>
      </c>
      <c r="L23" s="23" t="s">
        <v>120</v>
      </c>
      <c r="M23" s="23" t="s">
        <v>121</v>
      </c>
      <c r="N23" s="19">
        <v>38000</v>
      </c>
      <c r="O23" s="19">
        <v>14000</v>
      </c>
      <c r="P23" s="45">
        <v>33556</v>
      </c>
      <c r="Q23" s="16">
        <f t="shared" si="1"/>
        <v>479.85079999999994</v>
      </c>
      <c r="R23" s="18">
        <f>1959739.2+758932.8+712047.6+3676934.4+2184974.4</f>
        <v>9292628.4000000004</v>
      </c>
      <c r="S23" s="18">
        <v>0</v>
      </c>
      <c r="T23" s="18">
        <v>1441352.4</v>
      </c>
      <c r="U23" s="18">
        <v>0</v>
      </c>
      <c r="V23" s="18">
        <v>1107484.8</v>
      </c>
      <c r="W23" s="18">
        <v>5916814.7999999998</v>
      </c>
      <c r="X23" s="18">
        <f>5582178+5619223.2</f>
        <v>11201401.199999999</v>
      </c>
      <c r="Y23" s="18">
        <v>5901211.2000000002</v>
      </c>
      <c r="Z23" s="18">
        <v>0</v>
      </c>
      <c r="AA23" s="18">
        <v>7514226</v>
      </c>
      <c r="AB23" s="18">
        <v>0</v>
      </c>
      <c r="AC23" s="18">
        <v>0</v>
      </c>
      <c r="AD23" s="18"/>
      <c r="AE23" s="16">
        <f t="shared" si="5"/>
        <v>33082490.399999999</v>
      </c>
      <c r="AF23" s="16">
        <f t="shared" si="3"/>
        <v>42375118.799999997</v>
      </c>
      <c r="AG23" s="16">
        <f t="shared" si="0"/>
        <v>17320406.350000009</v>
      </c>
      <c r="AH23" s="18">
        <f>AF23/I23*100</f>
        <v>70.985419247961829</v>
      </c>
      <c r="AI23" s="18">
        <f t="shared" si="7"/>
        <v>99.998718597925844</v>
      </c>
      <c r="AJ23" s="18">
        <f>T23/I23/1000*100</f>
        <v>2.4145066089597835E-3</v>
      </c>
      <c r="AK23" s="56">
        <f>AE23+AE23*E23/100</f>
        <v>33555570.012719996</v>
      </c>
      <c r="AL23" s="26" t="s">
        <v>21</v>
      </c>
      <c r="AM23" s="65" t="s">
        <v>135</v>
      </c>
      <c r="AN23" s="3">
        <f t="shared" si="2"/>
        <v>5985598.5201599998</v>
      </c>
    </row>
    <row r="24" spans="1:78" s="20" customFormat="1" ht="30" x14ac:dyDescent="0.25">
      <c r="A24" s="64">
        <v>15</v>
      </c>
      <c r="B24" s="117" t="s">
        <v>6</v>
      </c>
      <c r="C24" s="118" t="s">
        <v>7</v>
      </c>
      <c r="D24" s="119" t="s">
        <v>17</v>
      </c>
      <c r="E24" s="120">
        <v>1.24</v>
      </c>
      <c r="F24" s="62"/>
      <c r="G24" s="121"/>
      <c r="H24" s="121"/>
      <c r="I24" s="122"/>
      <c r="J24" s="123"/>
      <c r="K24" s="44"/>
      <c r="L24" s="63"/>
      <c r="M24" s="63"/>
      <c r="N24" s="124">
        <v>20000</v>
      </c>
      <c r="O24" s="124">
        <v>0</v>
      </c>
      <c r="P24" s="62">
        <v>50</v>
      </c>
      <c r="Q24" s="122">
        <f t="shared" si="1"/>
        <v>0.62</v>
      </c>
      <c r="R24" s="121">
        <v>0</v>
      </c>
      <c r="S24" s="121">
        <v>0</v>
      </c>
      <c r="T24" s="121">
        <v>0</v>
      </c>
      <c r="U24" s="121">
        <v>0</v>
      </c>
      <c r="V24" s="121">
        <v>0</v>
      </c>
      <c r="W24" s="121">
        <v>0</v>
      </c>
      <c r="X24" s="121">
        <v>0</v>
      </c>
      <c r="Y24" s="121">
        <v>0</v>
      </c>
      <c r="Z24" s="121">
        <v>0</v>
      </c>
      <c r="AA24" s="121"/>
      <c r="AB24" s="121"/>
      <c r="AC24" s="121"/>
      <c r="AD24" s="121"/>
      <c r="AE24" s="122">
        <f t="shared" si="5"/>
        <v>0</v>
      </c>
      <c r="AF24" s="122">
        <f t="shared" si="3"/>
        <v>0</v>
      </c>
      <c r="AG24" s="122">
        <f t="shared" si="0"/>
        <v>0</v>
      </c>
      <c r="AH24" s="121"/>
      <c r="AI24" s="121">
        <f t="shared" si="7"/>
        <v>0</v>
      </c>
      <c r="AJ24" s="121"/>
      <c r="AK24" s="125">
        <f t="shared" si="9"/>
        <v>0</v>
      </c>
      <c r="AL24" s="126" t="s">
        <v>52</v>
      </c>
      <c r="AM24" s="26"/>
      <c r="AN24" s="3">
        <f t="shared" si="2"/>
        <v>0</v>
      </c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</row>
    <row r="25" spans="1:78" s="3" customFormat="1" ht="51" x14ac:dyDescent="0.25">
      <c r="A25" s="25">
        <v>16</v>
      </c>
      <c r="B25" s="21" t="s">
        <v>6</v>
      </c>
      <c r="C25" s="115" t="s">
        <v>7</v>
      </c>
      <c r="D25" s="17" t="s">
        <v>29</v>
      </c>
      <c r="E25" s="60">
        <v>2.14</v>
      </c>
      <c r="F25" s="53" t="s">
        <v>98</v>
      </c>
      <c r="G25" s="18">
        <v>31500375.260000002</v>
      </c>
      <c r="H25" s="18">
        <f>2269922.69-87517.11-32917.38</f>
        <v>2149488.2000000002</v>
      </c>
      <c r="I25" s="16">
        <f t="shared" ref="I25:I35" si="10">G25+H25</f>
        <v>33649863.460000001</v>
      </c>
      <c r="J25" s="116">
        <v>45230</v>
      </c>
      <c r="K25" s="45" t="str">
        <f>'[1]ianuarie 2023'!$D$60</f>
        <v>SRL „Irinda Prim”</v>
      </c>
      <c r="L25" s="23" t="s">
        <v>97</v>
      </c>
      <c r="M25" s="23" t="s">
        <v>99</v>
      </c>
      <c r="N25" s="19">
        <v>32000</v>
      </c>
      <c r="O25" s="19">
        <v>0</v>
      </c>
      <c r="P25" s="45">
        <v>32864</v>
      </c>
      <c r="Q25" s="16">
        <f t="shared" si="1"/>
        <v>703.28960000000006</v>
      </c>
      <c r="R25" s="18">
        <v>1474942.8</v>
      </c>
      <c r="S25" s="18">
        <v>0</v>
      </c>
      <c r="T25" s="18">
        <v>0</v>
      </c>
      <c r="U25" s="18">
        <v>0</v>
      </c>
      <c r="V25" s="18">
        <v>2774289.6</v>
      </c>
      <c r="W25" s="18">
        <v>4614802.8</v>
      </c>
      <c r="X25" s="18">
        <v>0</v>
      </c>
      <c r="Y25" s="18">
        <v>10220718</v>
      </c>
      <c r="Z25" s="18">
        <v>4981240.8</v>
      </c>
      <c r="AA25" s="18">
        <v>5457289.2000000002</v>
      </c>
      <c r="AB25" s="18">
        <v>4126576.8</v>
      </c>
      <c r="AC25" s="18">
        <v>0</v>
      </c>
      <c r="AD25" s="18">
        <v>0</v>
      </c>
      <c r="AE25" s="16">
        <f>S25+T25+U25+V25+W25+X25+Y25+Z25+AA25+AB25+AC25+AD25</f>
        <v>32174917.199999999</v>
      </c>
      <c r="AF25" s="16">
        <f>R25+AE25</f>
        <v>33649860</v>
      </c>
      <c r="AG25" s="16">
        <f t="shared" si="0"/>
        <v>3.4600000008940697</v>
      </c>
      <c r="AH25" s="18">
        <f t="shared" ref="AH25:AH31" si="11">AF25/I25*100</f>
        <v>99.99998971764029</v>
      </c>
      <c r="AI25" s="18">
        <f t="shared" si="7"/>
        <v>99.99835816723467</v>
      </c>
      <c r="AJ25" s="18">
        <f t="shared" si="8"/>
        <v>0</v>
      </c>
      <c r="AK25" s="56">
        <f t="shared" si="9"/>
        <v>32863460.42808</v>
      </c>
      <c r="AL25" s="26" t="s">
        <v>21</v>
      </c>
      <c r="AM25" s="65" t="s">
        <v>136</v>
      </c>
      <c r="AN25" s="3">
        <f t="shared" si="2"/>
        <v>10439441.3652</v>
      </c>
    </row>
    <row r="26" spans="1:78" s="20" customFormat="1" ht="51" x14ac:dyDescent="0.25">
      <c r="A26" s="25">
        <v>17</v>
      </c>
      <c r="B26" s="21" t="s">
        <v>8</v>
      </c>
      <c r="C26" s="22" t="s">
        <v>30</v>
      </c>
      <c r="D26" s="17" t="s">
        <v>191</v>
      </c>
      <c r="E26" s="60">
        <v>1.3</v>
      </c>
      <c r="F26" s="45" t="s">
        <v>126</v>
      </c>
      <c r="G26" s="18">
        <v>127959699.54000001</v>
      </c>
      <c r="H26" s="18">
        <f>-603558.22+939851.61-1531552.73+2644028.08+16643357.17+218354.06+882184.32+8231.41+15543204</f>
        <v>34744099.700000003</v>
      </c>
      <c r="I26" s="16">
        <f t="shared" si="10"/>
        <v>162703799.24000001</v>
      </c>
      <c r="J26" s="50">
        <v>45184</v>
      </c>
      <c r="K26" s="43" t="s">
        <v>62</v>
      </c>
      <c r="L26" s="23" t="s">
        <v>119</v>
      </c>
      <c r="M26" s="23" t="s">
        <v>127</v>
      </c>
      <c r="N26" s="19">
        <v>33000</v>
      </c>
      <c r="O26" s="19">
        <v>18900</v>
      </c>
      <c r="P26" s="45">
        <v>66141</v>
      </c>
      <c r="Q26" s="16">
        <f t="shared" si="1"/>
        <v>859.83300000000008</v>
      </c>
      <c r="R26" s="18">
        <f>61168105.2+36243694.32</f>
        <v>97411799.520000011</v>
      </c>
      <c r="S26" s="18">
        <v>0</v>
      </c>
      <c r="T26" s="18">
        <v>16643356.800000001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15887264.4</v>
      </c>
      <c r="AA26" s="18">
        <v>17217939.600000001</v>
      </c>
      <c r="AB26" s="18">
        <v>0</v>
      </c>
      <c r="AC26" s="18">
        <v>15543204</v>
      </c>
      <c r="AD26" s="18">
        <v>0</v>
      </c>
      <c r="AE26" s="16">
        <f t="shared" ref="AE26:AE35" si="12">S26+T26+U26+V26+W26+X26+Y26+Z26+AA26+AB26+AC26+AD26</f>
        <v>65291764.800000004</v>
      </c>
      <c r="AF26" s="16">
        <f t="shared" si="3"/>
        <v>162703564.32000002</v>
      </c>
      <c r="AG26" s="16">
        <f>I26-AF26</f>
        <v>234.91999998688698</v>
      </c>
      <c r="AH26" s="18">
        <f t="shared" si="11"/>
        <v>99.999855614926574</v>
      </c>
      <c r="AI26" s="18">
        <f t="shared" si="7"/>
        <v>99.99933134122557</v>
      </c>
      <c r="AJ26" s="18">
        <f t="shared" si="8"/>
        <v>1.0229236734324704E-2</v>
      </c>
      <c r="AK26" s="56">
        <f t="shared" si="9"/>
        <v>66140557.742400005</v>
      </c>
      <c r="AL26" s="28" t="s">
        <v>9</v>
      </c>
      <c r="AM26" s="26" t="s">
        <v>135</v>
      </c>
      <c r="AN26" s="3">
        <f t="shared" si="2"/>
        <v>0</v>
      </c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</row>
    <row r="27" spans="1:78" s="3" customFormat="1" ht="60" x14ac:dyDescent="0.25">
      <c r="A27" s="25">
        <v>18</v>
      </c>
      <c r="B27" s="21" t="s">
        <v>31</v>
      </c>
      <c r="C27" s="115" t="s">
        <v>32</v>
      </c>
      <c r="D27" s="17" t="s">
        <v>56</v>
      </c>
      <c r="E27" s="60">
        <v>2.14</v>
      </c>
      <c r="F27" s="53" t="s">
        <v>110</v>
      </c>
      <c r="G27" s="18">
        <v>16364056.98</v>
      </c>
      <c r="H27" s="18">
        <f>253011.74-16617.6</f>
        <v>236394.13999999998</v>
      </c>
      <c r="I27" s="16">
        <f>G27+H27</f>
        <v>16600451.120000001</v>
      </c>
      <c r="J27" s="116">
        <v>45275</v>
      </c>
      <c r="K27" s="45" t="s">
        <v>111</v>
      </c>
      <c r="L27" s="23" t="s">
        <v>112</v>
      </c>
      <c r="M27" s="23" t="s">
        <v>113</v>
      </c>
      <c r="N27" s="19">
        <v>15800</v>
      </c>
      <c r="O27" s="19">
        <v>0</v>
      </c>
      <c r="P27" s="45">
        <v>16956</v>
      </c>
      <c r="Q27" s="16">
        <f t="shared" si="1"/>
        <v>362.85840000000002</v>
      </c>
      <c r="R27" s="18">
        <v>0</v>
      </c>
      <c r="S27" s="18">
        <v>0</v>
      </c>
      <c r="T27" s="18">
        <v>0</v>
      </c>
      <c r="U27" s="18">
        <v>0</v>
      </c>
      <c r="V27" s="18">
        <v>757652.4</v>
      </c>
      <c r="W27" s="18">
        <v>0</v>
      </c>
      <c r="X27" s="18">
        <v>1025305.2</v>
      </c>
      <c r="Y27" s="18">
        <v>1108599.6000000001</v>
      </c>
      <c r="Z27" s="18">
        <v>777546</v>
      </c>
      <c r="AA27" s="18">
        <v>1644614.4</v>
      </c>
      <c r="AB27" s="18">
        <f>5657424+1354458</f>
        <v>7011882</v>
      </c>
      <c r="AC27" s="18">
        <v>1187536.8</v>
      </c>
      <c r="AD27" s="18">
        <v>3087315.6</v>
      </c>
      <c r="AE27" s="16">
        <f t="shared" si="12"/>
        <v>16600452</v>
      </c>
      <c r="AF27" s="16">
        <f t="shared" si="3"/>
        <v>16600452</v>
      </c>
      <c r="AG27" s="16">
        <f t="shared" ref="AG27:AG31" si="13">I27-AF27</f>
        <v>-0.87999999895691872</v>
      </c>
      <c r="AH27" s="18">
        <f t="shared" si="11"/>
        <v>100.00000530106075</v>
      </c>
      <c r="AI27" s="18">
        <f t="shared" si="7"/>
        <v>99.998240580325557</v>
      </c>
      <c r="AJ27" s="18">
        <f t="shared" si="8"/>
        <v>0</v>
      </c>
      <c r="AK27" s="56">
        <f t="shared" si="9"/>
        <v>16955701.672800001</v>
      </c>
      <c r="AL27" s="26" t="s">
        <v>33</v>
      </c>
      <c r="AM27" s="65" t="s">
        <v>137</v>
      </c>
      <c r="AN27" s="3">
        <f t="shared" si="2"/>
        <v>1132323.6314400001</v>
      </c>
    </row>
    <row r="28" spans="1:78" s="20" customFormat="1" ht="51" x14ac:dyDescent="0.25">
      <c r="A28" s="25">
        <v>19</v>
      </c>
      <c r="B28" s="21" t="s">
        <v>34</v>
      </c>
      <c r="C28" s="22" t="s">
        <v>35</v>
      </c>
      <c r="D28" s="17" t="s">
        <v>36</v>
      </c>
      <c r="E28" s="60">
        <v>2.3199999999999998</v>
      </c>
      <c r="F28" s="45" t="s">
        <v>114</v>
      </c>
      <c r="G28" s="18">
        <v>35767927.07</v>
      </c>
      <c r="H28" s="18">
        <f>556128.64-247739.1+160071.6+162778.28+1917448.83+398110.56+9520376.62+516859.26+467615.34-325221.5</f>
        <v>13126428.529999999</v>
      </c>
      <c r="I28" s="16">
        <f t="shared" si="10"/>
        <v>48894355.600000001</v>
      </c>
      <c r="J28" s="50">
        <v>45184</v>
      </c>
      <c r="K28" s="43" t="s">
        <v>115</v>
      </c>
      <c r="L28" s="23" t="s">
        <v>116</v>
      </c>
      <c r="M28" s="23" t="s">
        <v>117</v>
      </c>
      <c r="N28" s="19">
        <v>31800</v>
      </c>
      <c r="O28" s="19">
        <v>7000</v>
      </c>
      <c r="P28" s="45">
        <v>43420</v>
      </c>
      <c r="Q28" s="16">
        <f t="shared" si="1"/>
        <v>1007.3439999999999</v>
      </c>
      <c r="R28" s="18">
        <v>6459252</v>
      </c>
      <c r="S28" s="18">
        <v>0</v>
      </c>
      <c r="T28" s="18">
        <v>0</v>
      </c>
      <c r="U28" s="18">
        <v>0</v>
      </c>
      <c r="V28" s="18">
        <v>374636.4</v>
      </c>
      <c r="W28" s="18">
        <f>945133.2+1061252.4+2503141.2</f>
        <v>4509526.8</v>
      </c>
      <c r="X28" s="18">
        <v>5068317.5999999996</v>
      </c>
      <c r="Y28" s="18">
        <f>4594695.6+5915272.8</f>
        <v>10509968.399999999</v>
      </c>
      <c r="Z28" s="18">
        <v>0</v>
      </c>
      <c r="AA28" s="18">
        <f>16810000.8+4274935.2+398109.6+489390</f>
        <v>21972435.600000001</v>
      </c>
      <c r="AB28" s="18">
        <v>0</v>
      </c>
      <c r="AC28" s="18">
        <v>0</v>
      </c>
      <c r="AD28" s="18">
        <v>0</v>
      </c>
      <c r="AE28" s="16">
        <f t="shared" si="12"/>
        <v>42434884.799999997</v>
      </c>
      <c r="AF28" s="16">
        <f t="shared" si="3"/>
        <v>48894136.799999997</v>
      </c>
      <c r="AG28" s="16">
        <f t="shared" si="13"/>
        <v>218.80000000447035</v>
      </c>
      <c r="AH28" s="18">
        <f t="shared" si="11"/>
        <v>99.999552504583974</v>
      </c>
      <c r="AI28" s="18">
        <f t="shared" si="7"/>
        <v>99.998558561400259</v>
      </c>
      <c r="AJ28" s="18">
        <f t="shared" si="8"/>
        <v>0</v>
      </c>
      <c r="AK28" s="56">
        <f t="shared" si="9"/>
        <v>43419374.127359994</v>
      </c>
      <c r="AL28" s="28" t="s">
        <v>21</v>
      </c>
      <c r="AM28" s="26" t="s">
        <v>136</v>
      </c>
      <c r="AN28" s="3">
        <f t="shared" si="2"/>
        <v>10753799.666879999</v>
      </c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</row>
    <row r="29" spans="1:78" s="3" customFormat="1" ht="38.25" x14ac:dyDescent="0.25">
      <c r="A29" s="25">
        <v>20</v>
      </c>
      <c r="B29" s="21" t="s">
        <v>156</v>
      </c>
      <c r="C29" s="115" t="s">
        <v>157</v>
      </c>
      <c r="D29" s="17" t="s">
        <v>158</v>
      </c>
      <c r="E29" s="60">
        <v>1.34</v>
      </c>
      <c r="F29" s="53" t="s">
        <v>160</v>
      </c>
      <c r="G29" s="18">
        <v>81878535.719999999</v>
      </c>
      <c r="H29" s="18"/>
      <c r="I29" s="16">
        <f t="shared" si="10"/>
        <v>81878535.719999999</v>
      </c>
      <c r="J29" s="116">
        <v>45657</v>
      </c>
      <c r="K29" s="45" t="s">
        <v>115</v>
      </c>
      <c r="L29" s="23" t="s">
        <v>185</v>
      </c>
      <c r="M29" s="23" t="s">
        <v>184</v>
      </c>
      <c r="N29" s="19"/>
      <c r="O29" s="19"/>
      <c r="P29" s="45">
        <v>1379</v>
      </c>
      <c r="Q29" s="16">
        <f t="shared" si="1"/>
        <v>18.4786</v>
      </c>
      <c r="R29" s="18">
        <v>0</v>
      </c>
      <c r="S29" s="18"/>
      <c r="T29" s="18"/>
      <c r="U29" s="18"/>
      <c r="V29" s="18"/>
      <c r="W29" s="18"/>
      <c r="X29" s="18"/>
      <c r="Y29" s="18"/>
      <c r="Z29" s="18">
        <v>0</v>
      </c>
      <c r="AA29" s="18">
        <v>0</v>
      </c>
      <c r="AB29" s="18">
        <v>0</v>
      </c>
      <c r="AC29" s="18">
        <v>0</v>
      </c>
      <c r="AD29" s="18">
        <f>715262.4+644899.2</f>
        <v>1360161.6</v>
      </c>
      <c r="AE29" s="16">
        <f t="shared" si="12"/>
        <v>1360161.6</v>
      </c>
      <c r="AF29" s="16">
        <f t="shared" si="3"/>
        <v>1360161.6</v>
      </c>
      <c r="AG29" s="16">
        <f t="shared" si="13"/>
        <v>80518374.120000005</v>
      </c>
      <c r="AH29" s="18">
        <f t="shared" si="11"/>
        <v>1.6611943387108732</v>
      </c>
      <c r="AI29" s="18">
        <f t="shared" si="7"/>
        <v>99.955603005076128</v>
      </c>
      <c r="AJ29" s="18">
        <f t="shared" si="8"/>
        <v>0</v>
      </c>
      <c r="AK29" s="56">
        <f t="shared" si="9"/>
        <v>1378387.76544</v>
      </c>
      <c r="AL29" s="26" t="s">
        <v>21</v>
      </c>
      <c r="AM29" s="65" t="s">
        <v>136</v>
      </c>
      <c r="AN29" s="3">
        <f t="shared" si="2"/>
        <v>0</v>
      </c>
    </row>
    <row r="30" spans="1:78" s="20" customFormat="1" ht="15.75" x14ac:dyDescent="0.25">
      <c r="A30" s="103">
        <v>21</v>
      </c>
      <c r="B30" s="104" t="s">
        <v>174</v>
      </c>
      <c r="C30" s="105" t="s">
        <v>175</v>
      </c>
      <c r="D30" s="106" t="s">
        <v>176</v>
      </c>
      <c r="E30" s="107"/>
      <c r="F30" s="108"/>
      <c r="G30" s="109"/>
      <c r="H30" s="109"/>
      <c r="I30" s="102">
        <f t="shared" si="10"/>
        <v>0</v>
      </c>
      <c r="J30" s="110"/>
      <c r="K30" s="111"/>
      <c r="L30" s="112"/>
      <c r="M30" s="112"/>
      <c r="N30" s="113"/>
      <c r="O30" s="113"/>
      <c r="P30" s="108">
        <v>50</v>
      </c>
      <c r="Q30" s="102">
        <f t="shared" si="1"/>
        <v>0</v>
      </c>
      <c r="R30" s="109"/>
      <c r="S30" s="109">
        <v>0</v>
      </c>
      <c r="T30" s="109">
        <v>0</v>
      </c>
      <c r="U30" s="109">
        <v>0</v>
      </c>
      <c r="V30" s="109"/>
      <c r="W30" s="109"/>
      <c r="X30" s="109"/>
      <c r="Y30" s="109"/>
      <c r="Z30" s="109"/>
      <c r="AA30" s="109"/>
      <c r="AB30" s="109">
        <v>0</v>
      </c>
      <c r="AC30" s="109"/>
      <c r="AD30" s="109"/>
      <c r="AE30" s="102">
        <f t="shared" si="12"/>
        <v>0</v>
      </c>
      <c r="AF30" s="102">
        <f t="shared" si="3"/>
        <v>0</v>
      </c>
      <c r="AG30" s="102">
        <f t="shared" si="13"/>
        <v>0</v>
      </c>
      <c r="AH30" s="109">
        <v>0</v>
      </c>
      <c r="AI30" s="109">
        <f t="shared" si="7"/>
        <v>0</v>
      </c>
      <c r="AJ30" s="109">
        <v>0</v>
      </c>
      <c r="AK30" s="101">
        <f t="shared" si="9"/>
        <v>0</v>
      </c>
      <c r="AL30" s="114" t="s">
        <v>21</v>
      </c>
      <c r="AM30" s="26"/>
      <c r="AN30" s="3">
        <f t="shared" si="2"/>
        <v>0</v>
      </c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</row>
    <row r="31" spans="1:78" s="3" customFormat="1" ht="15.75" x14ac:dyDescent="0.25">
      <c r="A31" s="64">
        <v>22</v>
      </c>
      <c r="B31" s="13" t="s">
        <v>179</v>
      </c>
      <c r="C31" s="8" t="s">
        <v>180</v>
      </c>
      <c r="D31" s="7" t="s">
        <v>181</v>
      </c>
      <c r="E31" s="59"/>
      <c r="F31" s="54"/>
      <c r="G31" s="10"/>
      <c r="H31" s="10"/>
      <c r="I31" s="11">
        <f t="shared" si="10"/>
        <v>0</v>
      </c>
      <c r="J31" s="49"/>
      <c r="K31" s="62"/>
      <c r="L31" s="63"/>
      <c r="M31" s="24"/>
      <c r="N31" s="12"/>
      <c r="O31" s="12"/>
      <c r="P31" s="14">
        <v>50</v>
      </c>
      <c r="Q31" s="102">
        <f t="shared" si="1"/>
        <v>0</v>
      </c>
      <c r="R31" s="10"/>
      <c r="S31" s="10">
        <v>0</v>
      </c>
      <c r="T31" s="10">
        <v>0</v>
      </c>
      <c r="U31" s="10">
        <v>0</v>
      </c>
      <c r="V31" s="10"/>
      <c r="W31" s="10"/>
      <c r="X31" s="10"/>
      <c r="Y31" s="10"/>
      <c r="Z31" s="10"/>
      <c r="AA31" s="10"/>
      <c r="AB31" s="10">
        <v>0</v>
      </c>
      <c r="AC31" s="10"/>
      <c r="AD31" s="10"/>
      <c r="AE31" s="11">
        <f t="shared" si="12"/>
        <v>0</v>
      </c>
      <c r="AF31" s="11">
        <f t="shared" si="3"/>
        <v>0</v>
      </c>
      <c r="AG31" s="11">
        <f t="shared" si="13"/>
        <v>0</v>
      </c>
      <c r="AH31" s="10">
        <v>0</v>
      </c>
      <c r="AI31" s="10">
        <f t="shared" si="7"/>
        <v>0</v>
      </c>
      <c r="AJ31" s="10">
        <v>0</v>
      </c>
      <c r="AK31" s="55">
        <f t="shared" si="9"/>
        <v>0</v>
      </c>
      <c r="AL31" s="27" t="s">
        <v>21</v>
      </c>
      <c r="AM31" s="65"/>
      <c r="AN31" s="3">
        <f t="shared" si="2"/>
        <v>0</v>
      </c>
    </row>
    <row r="32" spans="1:78" s="20" customFormat="1" ht="51" x14ac:dyDescent="0.25">
      <c r="A32" s="25">
        <v>23</v>
      </c>
      <c r="B32" s="21" t="s">
        <v>49</v>
      </c>
      <c r="C32" s="22" t="s">
        <v>50</v>
      </c>
      <c r="D32" s="17" t="s">
        <v>51</v>
      </c>
      <c r="E32" s="60">
        <v>1.53</v>
      </c>
      <c r="F32" s="45" t="s">
        <v>100</v>
      </c>
      <c r="G32" s="18">
        <v>117159026.93000001</v>
      </c>
      <c r="H32" s="18">
        <f>5070540.09+10918131.6+22422865.2-1931889.03+102469.2</f>
        <v>36582117.060000002</v>
      </c>
      <c r="I32" s="16">
        <f t="shared" si="10"/>
        <v>153741143.99000001</v>
      </c>
      <c r="J32" s="50">
        <v>45046</v>
      </c>
      <c r="K32" s="43" t="str">
        <f>'[1]ianuarie 2023'!$D$60</f>
        <v>SRL „Irinda Prim”</v>
      </c>
      <c r="L32" s="23" t="s">
        <v>97</v>
      </c>
      <c r="M32" s="23" t="s">
        <v>99</v>
      </c>
      <c r="N32" s="19">
        <v>3000</v>
      </c>
      <c r="O32" s="19">
        <v>11000</v>
      </c>
      <c r="P32" s="45">
        <v>23200</v>
      </c>
      <c r="Q32" s="16">
        <f t="shared" si="1"/>
        <v>354.96</v>
      </c>
      <c r="R32" s="18">
        <v>130980132</v>
      </c>
      <c r="S32" s="18">
        <v>0</v>
      </c>
      <c r="T32" s="18">
        <v>22422865.199999999</v>
      </c>
      <c r="U32" s="18">
        <v>0</v>
      </c>
      <c r="V32" s="18">
        <v>235677.6</v>
      </c>
      <c r="W32" s="18">
        <v>0</v>
      </c>
      <c r="X32" s="18">
        <v>0</v>
      </c>
      <c r="Y32" s="18">
        <v>102469.2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6">
        <f>S32+T32+U32+V32+W32+X32+Y32+Z32+AA32+AB32+AC32+AD32</f>
        <v>22761012</v>
      </c>
      <c r="AF32" s="16">
        <f>R32+AE32</f>
        <v>153741144</v>
      </c>
      <c r="AG32" s="16">
        <f>I32-AF32</f>
        <v>-9.9999904632568359E-3</v>
      </c>
      <c r="AH32" s="18">
        <f>AF32/I32*100</f>
        <v>100.00000000650444</v>
      </c>
      <c r="AI32" s="18">
        <f t="shared" si="7"/>
        <v>99.60885984310346</v>
      </c>
      <c r="AJ32" s="18">
        <f>T32/I32/1000*100</f>
        <v>1.4584817452287515E-2</v>
      </c>
      <c r="AK32" s="56">
        <f>AE32+AE32*E32/100</f>
        <v>23109255.483600002</v>
      </c>
      <c r="AL32" s="28" t="s">
        <v>21</v>
      </c>
      <c r="AM32" s="26" t="s">
        <v>135</v>
      </c>
      <c r="AN32" s="3">
        <f t="shared" si="2"/>
        <v>104036.97876</v>
      </c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</row>
    <row r="33" spans="1:78" s="3" customFormat="1" ht="51" x14ac:dyDescent="0.25">
      <c r="A33" s="25">
        <v>24</v>
      </c>
      <c r="B33" s="21" t="s">
        <v>37</v>
      </c>
      <c r="C33" s="115" t="s">
        <v>38</v>
      </c>
      <c r="D33" s="17" t="s">
        <v>128</v>
      </c>
      <c r="E33" s="60">
        <v>1.32</v>
      </c>
      <c r="F33" s="53" t="s">
        <v>129</v>
      </c>
      <c r="G33" s="18">
        <v>149044811.05000001</v>
      </c>
      <c r="H33" s="18">
        <f>-28185818.57+6654284.4-1453636.88</f>
        <v>-22985171.050000001</v>
      </c>
      <c r="I33" s="16">
        <f t="shared" si="10"/>
        <v>126059640.00000001</v>
      </c>
      <c r="J33" s="116">
        <v>44926</v>
      </c>
      <c r="K33" s="45" t="str">
        <f>'[1]ianuarie 2023'!$D$60</f>
        <v>SRL „Irinda Prim”</v>
      </c>
      <c r="L33" s="23" t="s">
        <v>97</v>
      </c>
      <c r="M33" s="23" t="s">
        <v>130</v>
      </c>
      <c r="N33" s="19"/>
      <c r="O33" s="19"/>
      <c r="P33" s="45">
        <f>N33+O33</f>
        <v>0</v>
      </c>
      <c r="Q33" s="16">
        <f t="shared" si="1"/>
        <v>0</v>
      </c>
      <c r="R33" s="18">
        <v>119405355.59999999</v>
      </c>
      <c r="S33" s="18">
        <v>0</v>
      </c>
      <c r="T33" s="18">
        <v>6654284.4000000004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6">
        <f t="shared" ref="AE33" si="14">S33+T33+U33+V33+W33+X33+Y33+Z33+AA33+AB33+AC33+AD33</f>
        <v>6654284.4000000004</v>
      </c>
      <c r="AF33" s="16">
        <f>R33+AE33</f>
        <v>126059640</v>
      </c>
      <c r="AG33" s="16">
        <f t="shared" ref="AG33" si="15">I33-AF33</f>
        <v>0</v>
      </c>
      <c r="AH33" s="18">
        <f>AF33/I33*100</f>
        <v>99.999999999999986</v>
      </c>
      <c r="AI33" s="18"/>
      <c r="AJ33" s="18">
        <f>T33/I33/1000*100</f>
        <v>5.2786795202651692E-3</v>
      </c>
      <c r="AK33" s="56">
        <f>AE33+AE33*E33/100</f>
        <v>6742120.9540800005</v>
      </c>
      <c r="AL33" s="26" t="s">
        <v>21</v>
      </c>
      <c r="AM33" s="65" t="s">
        <v>135</v>
      </c>
      <c r="AN33" s="3">
        <f t="shared" si="2"/>
        <v>0</v>
      </c>
    </row>
    <row r="34" spans="1:78" s="20" customFormat="1" ht="51" x14ac:dyDescent="0.25">
      <c r="A34" s="25">
        <v>25</v>
      </c>
      <c r="B34" s="21" t="s">
        <v>37</v>
      </c>
      <c r="C34" s="22" t="s">
        <v>38</v>
      </c>
      <c r="D34" s="17" t="s">
        <v>39</v>
      </c>
      <c r="E34" s="60">
        <v>1.41</v>
      </c>
      <c r="F34" s="45" t="s">
        <v>144</v>
      </c>
      <c r="G34" s="18">
        <v>61124792.969999999</v>
      </c>
      <c r="H34" s="18">
        <f>-2848436.86+6026250.66-63464.18</f>
        <v>3114349.62</v>
      </c>
      <c r="I34" s="16">
        <f>G34+H34</f>
        <v>64239142.589999996</v>
      </c>
      <c r="J34" s="50">
        <v>45291</v>
      </c>
      <c r="K34" s="43" t="str">
        <f>'[1]ianuarie 2023'!$D$60</f>
        <v>SRL „Irinda Prim”</v>
      </c>
      <c r="L34" s="23" t="s">
        <v>97</v>
      </c>
      <c r="M34" s="23" t="s">
        <v>182</v>
      </c>
      <c r="N34" s="19">
        <v>40000</v>
      </c>
      <c r="O34" s="19">
        <v>0</v>
      </c>
      <c r="P34" s="45">
        <v>71952</v>
      </c>
      <c r="Q34" s="16">
        <f t="shared" si="1"/>
        <v>1014.5232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16904170.800000001</v>
      </c>
      <c r="Z34" s="18">
        <v>0</v>
      </c>
      <c r="AA34" s="18">
        <v>12972255.6</v>
      </c>
      <c r="AB34" s="18">
        <f>2479526.4+5590792.8</f>
        <v>8070319.1999999993</v>
      </c>
      <c r="AC34" s="18">
        <v>15617130</v>
      </c>
      <c r="AD34" s="18">
        <f>4636623.6+2909942.4+1831011.6+1297683.6</f>
        <v>10675261.199999999</v>
      </c>
      <c r="AE34" s="16">
        <f>S34+T34+U34+V34+W34+X34+Y34+Z34+AA34+AB34+AC34+AD34</f>
        <v>64239136.799999997</v>
      </c>
      <c r="AF34" s="16">
        <f>R34+AE34</f>
        <v>64239136.799999997</v>
      </c>
      <c r="AG34" s="16">
        <f>I34-AF34</f>
        <v>5.7899999991059303</v>
      </c>
      <c r="AH34" s="18">
        <f>AF34/I34*100</f>
        <v>99.999990986803738</v>
      </c>
      <c r="AI34" s="18">
        <f t="shared" si="7"/>
        <v>90.53939936190794</v>
      </c>
      <c r="AJ34" s="18">
        <f>T34/I34/1000*100</f>
        <v>0</v>
      </c>
      <c r="AK34" s="56">
        <f>AE34+AE34*E34/100</f>
        <v>65144908.628879994</v>
      </c>
      <c r="AL34" s="28" t="s">
        <v>21</v>
      </c>
      <c r="AM34" s="26" t="s">
        <v>137</v>
      </c>
      <c r="AN34" s="3">
        <f t="shared" si="2"/>
        <v>17142519.608279999</v>
      </c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</row>
    <row r="35" spans="1:78" s="3" customFormat="1" ht="65.25" customHeight="1" thickBot="1" x14ac:dyDescent="0.3">
      <c r="A35" s="25">
        <v>26</v>
      </c>
      <c r="B35" s="21" t="s">
        <v>41</v>
      </c>
      <c r="C35" s="115" t="s">
        <v>42</v>
      </c>
      <c r="D35" s="17" t="s">
        <v>57</v>
      </c>
      <c r="E35" s="60">
        <v>1.23</v>
      </c>
      <c r="F35" s="53" t="s">
        <v>118</v>
      </c>
      <c r="G35" s="18">
        <v>252622610.38</v>
      </c>
      <c r="H35" s="18">
        <f>8563559.67+14602075.16+5389536.64+2806629.79</f>
        <v>31361801.259999998</v>
      </c>
      <c r="I35" s="16">
        <f t="shared" si="10"/>
        <v>283984411.63999999</v>
      </c>
      <c r="J35" s="116">
        <v>45444</v>
      </c>
      <c r="K35" s="45" t="str">
        <f>'[1]ianuarie 2023'!$D$60</f>
        <v>SRL „Irinda Prim”</v>
      </c>
      <c r="L35" s="23" t="s">
        <v>97</v>
      </c>
      <c r="M35" s="23" t="s">
        <v>183</v>
      </c>
      <c r="N35" s="19">
        <v>100000</v>
      </c>
      <c r="O35" s="19">
        <v>0</v>
      </c>
      <c r="P35" s="45">
        <v>143231</v>
      </c>
      <c r="Q35" s="16">
        <f t="shared" si="1"/>
        <v>1761.7413000000001</v>
      </c>
      <c r="R35" s="18">
        <v>107760753.59999999</v>
      </c>
      <c r="S35" s="18">
        <v>0</v>
      </c>
      <c r="T35" s="18">
        <v>0</v>
      </c>
      <c r="U35" s="18">
        <v>0</v>
      </c>
      <c r="V35" s="18">
        <f>8829561.6+597205.2</f>
        <v>9426766.7999999989</v>
      </c>
      <c r="W35" s="18">
        <f>16554499.2+11572273.2</f>
        <v>28126772.399999999</v>
      </c>
      <c r="X35" s="18">
        <v>0</v>
      </c>
      <c r="Y35" s="18">
        <v>4555664.4000000004</v>
      </c>
      <c r="Z35" s="18">
        <v>0</v>
      </c>
      <c r="AA35" s="18">
        <f>30751881.6+7923392.4</f>
        <v>38675274</v>
      </c>
      <c r="AB35" s="18">
        <f>383928+1819671.6+14035208.4</f>
        <v>16238808</v>
      </c>
      <c r="AC35" s="18">
        <v>30199846.800000001</v>
      </c>
      <c r="AD35" s="18">
        <v>14267157.6</v>
      </c>
      <c r="AE35" s="16">
        <f t="shared" si="12"/>
        <v>141490290</v>
      </c>
      <c r="AF35" s="16">
        <f t="shared" si="3"/>
        <v>249251043.59999999</v>
      </c>
      <c r="AG35" s="16">
        <f t="shared" ref="AG35" si="16">I35-AF35</f>
        <v>34733368.039999992</v>
      </c>
      <c r="AH35" s="18">
        <f>AF35/I35*100</f>
        <v>87.76926950341533</v>
      </c>
      <c r="AI35" s="18">
        <f t="shared" si="7"/>
        <v>99.999735090169025</v>
      </c>
      <c r="AJ35" s="18">
        <f>T35/I35/1000*100</f>
        <v>0</v>
      </c>
      <c r="AK35" s="56">
        <f>AE35+AE35*E35/100</f>
        <v>143230620.567</v>
      </c>
      <c r="AL35" s="26" t="s">
        <v>9</v>
      </c>
      <c r="AM35" s="65" t="s">
        <v>136</v>
      </c>
      <c r="AN35" s="3">
        <f t="shared" si="2"/>
        <v>4611699.0721200006</v>
      </c>
    </row>
    <row r="36" spans="1:78" ht="16.5" thickBot="1" x14ac:dyDescent="0.3">
      <c r="A36" s="69" t="s">
        <v>40</v>
      </c>
      <c r="B36" s="70"/>
      <c r="C36" s="70"/>
      <c r="D36" s="70"/>
      <c r="E36" s="71"/>
      <c r="F36" s="42"/>
      <c r="G36" s="46"/>
      <c r="H36" s="46"/>
      <c r="I36" s="46"/>
      <c r="J36" s="42"/>
      <c r="K36" s="42"/>
      <c r="L36" s="42"/>
      <c r="M36" s="42"/>
      <c r="N36" s="42">
        <f t="shared" ref="N36:AG36" si="17">SUM(N8:N35)</f>
        <v>487600</v>
      </c>
      <c r="O36" s="42">
        <f t="shared" si="17"/>
        <v>71900</v>
      </c>
      <c r="P36" s="67">
        <f t="shared" si="17"/>
        <v>613000</v>
      </c>
      <c r="Q36" s="46">
        <f t="shared" si="17"/>
        <v>9590.3592000000008</v>
      </c>
      <c r="R36" s="46">
        <f t="shared" si="17"/>
        <v>582297132.68000007</v>
      </c>
      <c r="S36" s="46">
        <f t="shared" si="17"/>
        <v>4568427.6000000006</v>
      </c>
      <c r="T36" s="46">
        <f t="shared" si="17"/>
        <v>51657812.399999999</v>
      </c>
      <c r="U36" s="46">
        <f t="shared" si="17"/>
        <v>6267487.2000000002</v>
      </c>
      <c r="V36" s="46">
        <f t="shared" si="17"/>
        <v>17251695.600000001</v>
      </c>
      <c r="W36" s="46">
        <f t="shared" si="17"/>
        <v>48666866.399999999</v>
      </c>
      <c r="X36" s="46">
        <f t="shared" si="17"/>
        <v>26480370</v>
      </c>
      <c r="Y36" s="46">
        <f t="shared" si="17"/>
        <v>71353945.200000003</v>
      </c>
      <c r="Z36" s="46">
        <f t="shared" si="17"/>
        <v>29647916.399999999</v>
      </c>
      <c r="AA36" s="46">
        <f t="shared" si="17"/>
        <v>129551313</v>
      </c>
      <c r="AB36" s="46">
        <f t="shared" si="17"/>
        <v>57955634.900000006</v>
      </c>
      <c r="AC36" s="46">
        <f t="shared" si="17"/>
        <v>78930986.400000006</v>
      </c>
      <c r="AD36" s="46">
        <f t="shared" si="17"/>
        <v>80740844.399999991</v>
      </c>
      <c r="AE36" s="47">
        <f t="shared" si="17"/>
        <v>603073299.5</v>
      </c>
      <c r="AF36" s="47">
        <f t="shared" si="17"/>
        <v>1180014457.8799999</v>
      </c>
      <c r="AG36" s="47">
        <f t="shared" si="17"/>
        <v>367282101.71000004</v>
      </c>
      <c r="AH36" s="42"/>
      <c r="AI36" s="42"/>
      <c r="AJ36" s="42"/>
      <c r="AK36" s="47">
        <f>SUM(AK8:AK35)</f>
        <v>612483198.42056</v>
      </c>
      <c r="AL36" s="29"/>
      <c r="AM36" s="29"/>
      <c r="AN36" s="3">
        <f>SUM(AN8:AN35)</f>
        <v>72588530.707199991</v>
      </c>
      <c r="AP36" s="5"/>
    </row>
    <row r="37" spans="1:78" x14ac:dyDescent="0.25">
      <c r="AM37" s="52"/>
    </row>
    <row r="39" spans="1:78" s="20" customFormat="1" ht="51" x14ac:dyDescent="0.25">
      <c r="A39" s="25">
        <v>27</v>
      </c>
      <c r="B39" s="21" t="s">
        <v>41</v>
      </c>
      <c r="C39" s="22" t="s">
        <v>143</v>
      </c>
      <c r="D39" s="17">
        <v>7.19</v>
      </c>
      <c r="E39" s="60">
        <v>2.14</v>
      </c>
      <c r="F39" s="45" t="s">
        <v>139</v>
      </c>
      <c r="G39" s="18">
        <v>16584949.48</v>
      </c>
      <c r="H39" s="18">
        <f>709727.94-4840770.94</f>
        <v>-4131043.0000000005</v>
      </c>
      <c r="I39" s="16">
        <f>G39+H39</f>
        <v>12453906.48</v>
      </c>
      <c r="J39" s="50">
        <v>45169</v>
      </c>
      <c r="K39" s="43" t="s">
        <v>140</v>
      </c>
      <c r="L39" s="23" t="s">
        <v>112</v>
      </c>
      <c r="M39" s="23" t="s">
        <v>142</v>
      </c>
      <c r="N39" s="19">
        <v>7500</v>
      </c>
      <c r="O39" s="19">
        <v>0</v>
      </c>
      <c r="P39" s="45">
        <v>7500</v>
      </c>
      <c r="Q39" s="16"/>
      <c r="R39" s="18">
        <v>9552042</v>
      </c>
      <c r="S39" s="18">
        <v>0</v>
      </c>
      <c r="T39" s="18">
        <v>0</v>
      </c>
      <c r="U39" s="18">
        <v>957933.6</v>
      </c>
      <c r="V39" s="18">
        <v>0</v>
      </c>
      <c r="W39" s="18">
        <v>0</v>
      </c>
      <c r="X39" s="18">
        <v>1713886.8</v>
      </c>
      <c r="Y39" s="18">
        <v>0</v>
      </c>
      <c r="Z39" s="18">
        <v>230044.79999999999</v>
      </c>
      <c r="AA39" s="18">
        <v>0</v>
      </c>
      <c r="AB39" s="18"/>
      <c r="AC39" s="18"/>
      <c r="AD39" s="18"/>
      <c r="AE39" s="16">
        <f t="shared" ref="AE39" si="18">S39+T39+U39+V39+W39+X39+Y39+Z39+AA39+AB39+AC39+AD39</f>
        <v>2901865.1999999997</v>
      </c>
      <c r="AF39" s="16">
        <f t="shared" ref="AF39" si="19">R39+AE39</f>
        <v>12453907.199999999</v>
      </c>
      <c r="AG39" s="16">
        <f t="shared" ref="AG39" si="20">I39-AF39</f>
        <v>-0.7199999988079071</v>
      </c>
      <c r="AH39" s="18">
        <f>AF39/I39*100</f>
        <v>100.00000578131849</v>
      </c>
      <c r="AI39" s="18">
        <f t="shared" ref="AI39" si="21">AK39/P39/1000*100</f>
        <v>39.519534870399994</v>
      </c>
      <c r="AJ39" s="18">
        <f>T39/I39/1000*100</f>
        <v>0</v>
      </c>
      <c r="AK39" s="56">
        <f>AE39+AE39*E39/100</f>
        <v>2963965.1152799996</v>
      </c>
      <c r="AL39" s="28" t="s">
        <v>141</v>
      </c>
      <c r="AM39" s="26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</row>
    <row r="42" spans="1:78" x14ac:dyDescent="0.25">
      <c r="Z42" s="68"/>
    </row>
    <row r="43" spans="1:78" x14ac:dyDescent="0.25">
      <c r="Z43" s="68"/>
    </row>
    <row r="44" spans="1:78" x14ac:dyDescent="0.25">
      <c r="Z44" s="68"/>
    </row>
    <row r="45" spans="1:78" x14ac:dyDescent="0.25">
      <c r="Z45" s="68"/>
    </row>
    <row r="46" spans="1:78" x14ac:dyDescent="0.25">
      <c r="Z46" s="68"/>
    </row>
    <row r="49" spans="12:12" s="6" customFormat="1" x14ac:dyDescent="0.25">
      <c r="L49" s="5">
        <f>K47-AF46</f>
        <v>0</v>
      </c>
    </row>
    <row r="51" spans="12:12" s="6" customFormat="1" x14ac:dyDescent="0.25">
      <c r="L51" s="5">
        <v>3000000</v>
      </c>
    </row>
    <row r="52" spans="12:12" s="6" customFormat="1" ht="18.75" x14ac:dyDescent="0.25">
      <c r="L52" s="57">
        <f>L49-L51</f>
        <v>-3000000</v>
      </c>
    </row>
    <row r="53" spans="12:12" s="6" customFormat="1" x14ac:dyDescent="0.25">
      <c r="L53" s="5">
        <v>120000</v>
      </c>
    </row>
    <row r="54" spans="12:12" s="6" customFormat="1" ht="18.75" x14ac:dyDescent="0.25">
      <c r="L54" s="57">
        <f>L52+L53</f>
        <v>-2880000</v>
      </c>
    </row>
  </sheetData>
  <mergeCells count="43">
    <mergeCell ref="P5:P6"/>
    <mergeCell ref="A36:E36"/>
    <mergeCell ref="Z42:Z46"/>
    <mergeCell ref="AH5:AH6"/>
    <mergeCell ref="AI5:AI6"/>
    <mergeCell ref="A6:D6"/>
    <mergeCell ref="A8:A10"/>
    <mergeCell ref="B8:B10"/>
    <mergeCell ref="C8:C10"/>
    <mergeCell ref="D8:D10"/>
    <mergeCell ref="E8:E10"/>
    <mergeCell ref="Q5:Q6"/>
    <mergeCell ref="R5:R6"/>
    <mergeCell ref="S5:AD5"/>
    <mergeCell ref="AE5:AE6"/>
    <mergeCell ref="AF5:AF6"/>
    <mergeCell ref="K5:K6"/>
    <mergeCell ref="L5:L6"/>
    <mergeCell ref="M5:M6"/>
    <mergeCell ref="N5:N6"/>
    <mergeCell ref="O5:O6"/>
    <mergeCell ref="AH4:AJ4"/>
    <mergeCell ref="AK4:AK6"/>
    <mergeCell ref="AL4:AL6"/>
    <mergeCell ref="AM4:AM6"/>
    <mergeCell ref="AG5:AG6"/>
    <mergeCell ref="AJ5:AJ6"/>
    <mergeCell ref="A2:AL2"/>
    <mergeCell ref="A3:AL3"/>
    <mergeCell ref="A4:A5"/>
    <mergeCell ref="B4:B5"/>
    <mergeCell ref="C4:C5"/>
    <mergeCell ref="D4:D5"/>
    <mergeCell ref="E4:E6"/>
    <mergeCell ref="F4:J4"/>
    <mergeCell ref="K4:M4"/>
    <mergeCell ref="N4:P4"/>
    <mergeCell ref="F5:F6"/>
    <mergeCell ref="G5:G6"/>
    <mergeCell ref="H5:H6"/>
    <mergeCell ref="I5:I6"/>
    <mergeCell ref="J5:J6"/>
    <mergeCell ref="R4:AF4"/>
  </mergeCells>
  <phoneticPr fontId="16" type="noConversion"/>
  <pageMargins left="0.7" right="0.7" top="0.75" bottom="0.75" header="0.3" footer="0.3"/>
  <pageSetup paperSize="9" scale="2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final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Serghe PETRUŞANCO</dc:creator>
  <cp:lastModifiedBy>Petru ZOLOTCOV</cp:lastModifiedBy>
  <cp:lastPrinted>2024-01-04T11:27:43Z</cp:lastPrinted>
  <dcterms:created xsi:type="dcterms:W3CDTF">2021-09-14T06:09:14Z</dcterms:created>
  <dcterms:modified xsi:type="dcterms:W3CDTF">2025-03-04T11:03:17Z</dcterms:modified>
</cp:coreProperties>
</file>